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MRis7qVo0lSLG7doXXyxyuPvXiImbJ791u8sKyrVw9RWa2R8D6U2SjCnHNjQaRavs8hLXd2Gj++cLdbZi72bNg==" workbookSaltValue="Kj6pbp3q7/qcdeG0m5Ey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C12" i="14"/>
  <c r="K12" i="14" s="1"/>
  <c r="AB13" i="21"/>
  <c r="BG10" i="8"/>
  <c r="R8" i="9"/>
  <c r="AP16" i="20" s="1"/>
  <c r="AL16" i="11"/>
  <c r="C16" i="6"/>
  <c r="BE9" i="13"/>
  <c r="X12" i="21"/>
  <c r="BH9" i="16"/>
  <c r="BJ17" i="11"/>
  <c r="BH15" i="16"/>
  <c r="V11" i="16"/>
  <c r="BF16" i="11"/>
  <c r="BL12" i="11"/>
  <c r="V17" i="16"/>
  <c r="S9" i="17"/>
  <c r="BI10" i="11"/>
  <c r="V9" i="11"/>
  <c r="R10" i="21"/>
  <c r="R13" i="21" s="1"/>
  <c r="R19" i="21" s="1"/>
  <c r="BG9" i="11"/>
  <c r="BH17" i="11"/>
  <c r="T17" i="16"/>
  <c r="BU15" i="17"/>
  <c r="BW17" i="20"/>
  <c r="BW16" i="20"/>
  <c r="BW15" i="20"/>
  <c r="BV10" i="16"/>
  <c r="S11" i="17"/>
  <c r="AZ16" i="11"/>
  <c r="X17" i="17"/>
  <c r="P15" i="17"/>
  <c r="BL15" i="11"/>
  <c r="BJ10" i="11"/>
  <c r="BH11" i="11"/>
  <c r="S17" i="17"/>
  <c r="BH12" i="16"/>
  <c r="S15" i="17"/>
  <c r="L12" i="2"/>
  <c r="L17" i="2"/>
  <c r="X15" i="16"/>
  <c r="X18" i="16" s="1"/>
  <c r="V10" i="16"/>
  <c r="BF11" i="11"/>
  <c r="BL9" i="11"/>
  <c r="BG10" i="11"/>
  <c r="P17" i="17"/>
  <c r="BK12" i="11"/>
  <c r="BK9" i="11"/>
  <c r="X11" i="17"/>
  <c r="BK11" i="11"/>
  <c r="AP10" i="21"/>
  <c r="BH9" i="11"/>
  <c r="BJ15" i="1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V9" i="16"/>
  <c r="S10" i="14"/>
  <c r="V10" i="14" s="1"/>
  <c r="S17" i="14"/>
  <c r="V17" i="14" s="1"/>
  <c r="R10" i="14"/>
  <c r="R12" i="14"/>
  <c r="R16" i="14"/>
  <c r="S9" i="14"/>
  <c r="V9" i="14" s="1"/>
  <c r="S15" i="14"/>
  <c r="V15" i="14" s="1"/>
  <c r="T15" i="11"/>
  <c r="AA16" i="16"/>
  <c r="AA10" i="16"/>
  <c r="X12"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S16" i="17"/>
  <c r="BK10" i="11"/>
  <c r="BM9" i="11"/>
  <c r="Q9" i="11" s="1"/>
  <c r="BG16" i="11"/>
  <c r="BK16" i="11"/>
  <c r="BL10" i="11"/>
  <c r="BF12" i="11"/>
  <c r="S15" i="16"/>
  <c r="AZ11" i="11"/>
  <c r="BU12" i="17"/>
  <c r="BU17" i="17"/>
  <c r="BU9" i="17"/>
  <c r="BV15" i="16"/>
  <c r="BV16" i="16"/>
  <c r="BW9" i="20"/>
  <c r="T15" i="16"/>
  <c r="BM15" i="11"/>
  <c r="BL11" i="11"/>
  <c r="BI17" i="11"/>
  <c r="BJ11" i="11"/>
  <c r="Q10" i="21"/>
  <c r="AZ17" i="11"/>
  <c r="BK15" i="11"/>
  <c r="V12" i="21"/>
  <c r="S17" i="16"/>
  <c r="BF17" i="11"/>
  <c r="Q17" i="20"/>
  <c r="Q18" i="20" s="1"/>
  <c r="BH15" i="11"/>
  <c r="V15" i="1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P12" i="11"/>
  <c r="AO13" i="17"/>
  <c r="AL13" i="11"/>
  <c r="BF13" i="8"/>
  <c r="BE13" i="8"/>
  <c r="S18" i="16"/>
  <c r="S19" i="16" s="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<sst xmlns="http://schemas.openxmlformats.org/spreadsheetml/2006/main" count="2102" uniqueCount="917">
  <si>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</si>
  <si>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</si>
  <si>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</si>
  <si>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</si>
  <si>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</si>
  <si>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</si>
  <si>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</si>
  <si>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</si>
  <si>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</si>
  <si>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</si>
  <si>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</si>
  <si>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</si>
  <si>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</si>
  <si>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</si>
  <si>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</si>
  <si>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</si>
  <si>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</si>
  <si>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</si>
  <si>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</si>
  <si>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</si>
  <si>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</si>
  <si>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</si>
  <si>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</si>
  <si>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</si>
  <si>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</si>
  <si>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</si>
  <si>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</si>
  <si>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</si>
  <si>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</si>
  <si>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</si>
  <si>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</si>
  <si>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</si>
  <si>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</si>
  <si>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</si>
  <si>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</si>
  <si>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</si>
  <si>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</si>
  <si>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</si>
  <si>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</si>
  <si>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</si>
  <si>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</si>
  <si>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</si>
  <si>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</si>
  <si>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</si>
  <si>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</si>
  <si>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</si>
  <si>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</si>
  <si>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</si>
  <si>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</si>
  <si>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</si>
  <si>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</si>
  <si>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</si>
  <si>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</si>
  <si>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</si>
  <si>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</si>
  <si>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</si>
  <si>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</si>
  <si>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</si>
  <si>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</si>
  <si>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</si>
  <si>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</si>
  <si>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</si>
  <si>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</si>
  <si>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</si>
  <si>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</si>
  <si>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</si>
  <si>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</si>
  <si>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</si>
  <si>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</si>
  <si>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</si>
  <si>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</si>
  <si>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</si>
  <si>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</si>
  <si>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</si>
  <si>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</si>
  <si>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</si>
  <si>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</si>
  <si>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</si>
  <si>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</si>
  <si>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</si>
  <si>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</si>
  <si>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</si>
  <si>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</si>
  <si>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</si>
  <si>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</si>
  <si>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</si>
  <si>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</si>
  <si>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</si>
  <si>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</si>
  <si>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</si>
  <si>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</si>
  <si>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</si>
  <si>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</si>
  <si>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</si>
  <si>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</si>
  <si>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</si>
  <si>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</si>
  <si>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</si>
  <si>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</si>
  <si>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</si>
  <si>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</si>
  <si>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</si>
  <si>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</si>
  <si>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</si>
  <si>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</si>
  <si>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</si>
  <si>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</si>
  <si>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</si>
  <si>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</si>
  <si>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</si>
  <si>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</si>
  <si>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</si>
  <si>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</si>
  <si>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</si>
  <si>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</si>
  <si>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</si>
  <si>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</si>
  <si>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</si>
  <si>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</si>
  <si>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</si>
  <si>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</si>
  <si>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</si>
  <si>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</si>
  <si>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</si>
  <si>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</si>
  <si>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</si>
  <si>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</si>
  <si>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</si>
  <si>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</si>
  <si>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</si>
  <si>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</si>
  <si>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</si>
  <si>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</si>
  <si>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</si>
  <si>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</si>
  <si>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</si>
  <si>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</si>
  <si>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</si>
  <si>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</si>
  <si>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</si>
  <si>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</si>
  <si>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</si>
  <si>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</si>
  <si>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</si>
  <si>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</si>
  <si>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</si>
  <si>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</si>
  <si>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</si>
  <si>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</si>
  <si>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</si>
  <si>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</si>
  <si>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</si>
  <si>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</si>
  <si>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</si>
  <si>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</si>
  <si>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</si>
  <si>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</si>
  <si>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</si>
  <si>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</si>
  <si>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</si>
  <si>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</si>
  <si>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</si>
  <si>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</si>
  <si>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</si>
  <si>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</si>
  <si>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</si>
  <si>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</si>
  <si>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</si>
  <si>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</si>
  <si>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</si>
  <si>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</si>
  <si>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</si>
  <si>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</si>
  <si>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</si>
  <si>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</si>
  <si>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</si>
  <si>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</si>
  <si>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</si>
  <si>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</si>
  <si>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</si>
  <si>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</si>
  <si>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</si>
  <si>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</si>
  <si>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</si>
  <si>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</si>
  <si>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</si>
  <si>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</si>
  <si>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</si>
  <si>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</si>
  <si>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</si>
  <si>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</si>
  <si>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</si>
  <si>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</si>
  <si>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</si>
  <si>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</si>
  <si>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</si>
  <si>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</si>
  <si>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</si>
  <si>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</si>
  <si>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</si>
  <si>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</si>
  <si>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</si>
  <si>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</si>
  <si>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</si>
  <si>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</si>
  <si>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</si>
  <si>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</si>
  <si>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</si>
  <si>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</si>
  <si>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</si>
  <si>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</si>
  <si>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</si>
  <si>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</si>
  <si>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</si>
  <si>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</si>
  <si>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</si>
  <si>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</si>
  <si>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</si>
  <si>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</si>
  <si>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</si>
  <si>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</si>
  <si>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</si>
  <si>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</si>
  <si>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</si>
  <si>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</si>
  <si>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</si>
  <si>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</si>
  <si>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</si>
  <si>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</si>
  <si>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</si>
  <si>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</si>
  <si>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</si>
  <si>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</si>
  <si>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</si>
  <si>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</si>
  <si>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</si>
  <si>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</si>
  <si>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</si>
  <si>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</si>
  <si>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</si>
  <si>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</si>
  <si>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</si>
  <si>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</si>
  <si>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</si>
  <si>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</si>
  <si>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</si>
  <si>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</si>
  <si>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</si>
  <si>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</si>
  <si>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</si>
  <si>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</si>
  <si>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</si>
  <si>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</si>
  <si>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</si>
  <si>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</si>
  <si>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</si>
  <si>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</si>
  <si>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</si>
  <si>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</si>
  <si>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</si>
  <si>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</si>
  <si>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</si>
  <si>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</si>
  <si>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</si>
  <si>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</si>
  <si>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</si>
  <si>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</si>
  <si>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</si>
  <si>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</si>
  <si>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</si>
  <si>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</si>
  <si>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</si>
  <si>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</si>
  <si>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</si>
  <si>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</si>
  <si>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</si>
  <si>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</si>
  <si>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</si>
  <si>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</si>
  <si>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</si>
  <si>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</si>
  <si>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</si>
  <si>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</si>
  <si>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</si>
  <si>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</si>
  <si>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</si>
  <si>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</si>
  <si>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</si>
  <si>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</si>
  <si>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</si>
  <si>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</si>
  <si>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</si>
  <si>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</si>
  <si>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</si>
  <si>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</si>
  <si>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</si>
  <si>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</si>
  <si>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</si>
  <si>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</si>
  <si>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</si>
  <si>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</si>
  <si>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</si>
  <si>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</si>
  <si>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</si>
  <si>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</si>
  <si>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</si>
  <si>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</si>
  <si>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</si>
  <si>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</si>
  <si>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</si>
  <si>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</si>
  <si>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</si>
  <si>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</si>
  <si>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</si>
  <si>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</si>
  <si>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</si>
  <si>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</si>
  <si>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</si>
  <si>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</si>
  <si>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</si>
  <si>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</si>
  <si>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</si>
  <si>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</si>
  <si>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</si>
  <si>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</si>
  <si>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</si>
  <si>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</si>
  <si>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</si>
  <si>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</si>
  <si>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</si>
  <si>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</si>
  <si>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</si>
  <si>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</si>
  <si>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</si>
  <si>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</si>
  <si>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</si>
  <si>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</si>
  <si>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</si>
  <si>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</si>
  <si>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</si>
  <si>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</si>
  <si>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</si>
  <si>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</si>
  <si>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</si>
  <si>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</si>
  <si>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</si>
  <si>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</si>
  <si>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</si>
  <si>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</si>
  <si>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</si>
  <si>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</si>
  <si>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</si>
  <si>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</si>
  <si>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</si>
  <si>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</si>
  <si>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</si>
  <si>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</si>
  <si>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</si>
  <si>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</si>
  <si>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</si>
  <si>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</si>
  <si>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</si>
  <si>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</si>
  <si>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</si>
  <si>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</si>
  <si>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</si>
  <si>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</si>
  <si>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</si>
  <si>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</si>
  <si>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</si>
  <si>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</si>
  <si>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</si>
  <si>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</si>
  <si>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</si>
  <si>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</si>
  <si>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</si>
  <si>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</si>
  <si>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</si>
  <si>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</si>
  <si>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</si>
  <si>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</si>
  <si>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</si>
  <si>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</si>
  <si>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</si>
  <si>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</si>
  <si>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</si>
  <si>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</si>
  <si>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</si>
  <si>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</si>
  <si>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</si>
  <si>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</si>
  <si>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</si>
  <si>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</si>
  <si>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</si>
  <si>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</si>
  <si>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</si>
  <si>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</si>
  <si>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</si>
  <si>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</si>
  <si>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</si>
  <si>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</si>
  <si>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</si>
  <si>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</si>
  <si>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</si>
  <si>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</si>
  <si>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</si>
  <si>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</si>
  <si>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</si>
  <si>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</si>
  <si>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</si>
  <si>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</si>
  <si>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</si>
  <si>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</si>
  <si>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</si>
  <si>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</si>
  <si>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</si>
  <si>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</si>
  <si>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</si>
  <si>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</si>
  <si>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</si>
  <si>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</si>
  <si>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</si>
  <si>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</si>
  <si>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</si>
  <si>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</si>
  <si>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</si>
  <si>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</si>
  <si>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</si>
  <si>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</si>
  <si>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</si>
  <si>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</si>
  <si>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</si>
  <si>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</si>
  <si>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</si>
  <si>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</si>
  <si>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</si>
  <si>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</si>
  <si>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</si>
  <si>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</si>
  <si>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</si>
  <si>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</si>
  <si>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</si>
  <si>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</si>
  <si>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</si>
  <si>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</si>
  <si>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</si>
  <si>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</si>
  <si>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</si>
  <si>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</si>
  <si>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</si>
  <si>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</si>
  <si>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</si>
  <si>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</si>
  <si>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</si>
  <si>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</si>
  <si>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</si>
  <si>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</si>
  <si>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</si>
  <si>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</si>
  <si>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</si>
  <si>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</si>
  <si>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</si>
  <si>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</si>
  <si>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</si>
  <si>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</si>
  <si>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</si>
  <si>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</si>
  <si>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</si>
  <si>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</si>
  <si>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</si>
  <si>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</si>
  <si>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</si>
  <si>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</si>
  <si>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</si>
  <si>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</si>
  <si>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</si>
  <si>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</si>
  <si>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</si>
  <si>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</si>
  <si>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</si>
  <si>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</si>
  <si>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</si>
  <si>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</si>
  <si>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</si>
  <si>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</si>
  <si>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</si>
  <si>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</si>
  <si>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</si>
  <si>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</si>
  <si>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</si>
  <si>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</si>
  <si>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</si>
  <si>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</si>
  <si>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</si>
  <si>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</si>
  <si>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</si>
  <si>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</si>
  <si>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</si>
  <si>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</si>
  <si>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</si>
  <si>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</si>
  <si>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</si>
  <si>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</si>
  <si>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</si>
  <si>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</si>
  <si>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</si>
  <si>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</si>
  <si>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</si>
  <si>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</si>
  <si>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</si>
  <si>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</si>
  <si>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</si>
  <si>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</si>
  <si>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</si>
  <si>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</si>
  <si>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</si>
  <si>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</si>
  <si>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</si>
  <si>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</si>
  <si>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</si>
  <si>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</si>
  <si>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</si>
  <si>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</si>
  <si>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</si>
  <si>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</si>
  <si>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</si>
  <si>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</si>
  <si>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</si>
  <si>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</si>
  <si>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</si>
  <si>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</si>
  <si>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</si>
  <si>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</si>
  <si>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</si>
  <si>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</si>
  <si>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</si>
  <si>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</si>
  <si>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</si>
  <si>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</si>
  <si>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</si>
  <si>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</si>
  <si>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</si>
  <si>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</si>
  <si>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</si>
  <si>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</si>
  <si>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</si>
  <si>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</si>
  <si>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</si>
  <si>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</si>
  <si>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</si>
  <si>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</si>
  <si>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</si>
  <si>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</si>
  <si>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</si>
  <si>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</si>
  <si>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</si>
  <si>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</si>
  <si>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</si>
  <si>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</si>
  <si>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</si>
  <si>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</si>
  <si>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</si>
  <si>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</si>
  <si>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</si>
  <si>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</si>
  <si>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</si>
  <si>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</si>
  <si>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</si>
  <si>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</si>
  <si>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</si>
  <si>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</si>
  <si>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</si>
  <si>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</si>
  <si>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</si>
  <si>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</si>
  <si>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</si>
  <si>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</si>
  <si>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</si>
  <si>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</si>
  <si>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</si>
  <si>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</si>
  <si>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</si>
  <si>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</si>
  <si>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</si>
  <si>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</si>
  <si>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</si>
  <si>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</si>
  <si>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</si>
  <si>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</si>
  <si>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</si>
  <si>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</si>
  <si>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</si>
  <si>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</si>
  <si>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</si>
  <si>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</si>
  <si>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</si>
  <si>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</si>
  <si>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</si>
  <si>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</si>
  <si>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</si>
  <si>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</si>
  <si>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</si>
  <si>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</si>
  <si>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</si>
  <si>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</si>
  <si>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</si>
  <si>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</si>
  <si>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</si>
  <si>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</si>
  <si>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</si>
  <si>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</si>
  <si>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</si>
  <si>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</si>
  <si>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</si>
  <si>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</si>
  <si>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</si>
  <si>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</si>
  <si>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</si>
  <si>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</si>
  <si>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</si>
  <si>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</si>
  <si>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</si>
  <si>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</si>
  <si>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</si>
  <si>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</si>
  <si>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</si>
  <si>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</si>
  <si>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</si>
  <si>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</si>
  <si>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</si>
  <si>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</si>
  <si>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</si>
  <si>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</si>
  <si>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</si>
  <si>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</si>
  <si>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</si>
  <si>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</si>
  <si>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</si>
  <si>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</si>
  <si>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</si>
  <si>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</si>
  <si>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</si>
  <si>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</si>
  <si>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</si>
  <si>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</si>
  <si>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</si>
  <si>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</si>
  <si>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</si>
  <si>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</si>
  <si>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</si>
  <si>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</si>
  <si>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</si>
  <si>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</si>
  <si>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</si>
  <si>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</si>
  <si>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</si>
  <si>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</si>
  <si>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</si>
  <si>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</si>
  <si>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</si>
  <si>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</si>
  <si>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</si>
  <si>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</si>
  <si>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</si>
  <si>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</si>
  <si>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</si>
  <si>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</si>
  <si>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</si>
  <si>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</si>
  <si>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</si>
  <si>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</si>
  <si>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</si>
  <si>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</si>
  <si>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</si>
  <si>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</si>
  <si>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</si>
  <si>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</si>
  <si>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</si>
  <si>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</si>
  <si>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</si>
  <si>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</si>
  <si>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</si>
  <si>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</si>
  <si>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</si>
  <si>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</si>
  <si>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</si>
  <si>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</si>
  <si>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</si>
  <si>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</si>
  <si>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</si>
  <si>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</si>
  <si>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</si>
  <si>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</si>
  <si>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</si>
  <si>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</si>
  <si>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</si>
  <si>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</si>
  <si>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</si>
  <si>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</si>
  <si>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</si>
  <si>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</si>
  <si>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</si>
  <si>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</si>
  <si>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</si>
  <si>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</si>
  <si>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</si>
  <si>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</si>
  <si>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</si>
  <si>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</si>
  <si>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</si>
  <si>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</si>
  <si>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</si>
  <si>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</si>
  <si>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</si>
  <si>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</si>
  <si>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</si>
  <si>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</si>
  <si>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</si>
  <si>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</si>
  <si>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</si>
  <si>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</si>
  <si>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</si>
  <si>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</si>
  <si>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</si>
  <si>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</si>
  <si>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</si>
  <si>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</si>
  <si>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</si>
  <si>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</si>
  <si>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</si>
  <si>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</si>
  <si>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</si>
  <si>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</si>
  <si>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</si>
  <si>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</si>
  <si>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</si>
  <si>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</si>
  <si>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</si>
  <si>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</si>
  <si>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</si>
  <si>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</si>
  <si>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</si>
  <si>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</si>
  <si>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</si>
  <si>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</si>
  <si>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</si>
  <si>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</si>
  <si>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</si>
  <si>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</si>
  <si>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</si>
  <si>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</si>
  <si>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</si>
  <si>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</si>
  <si>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</si>
  <si>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</si>
  <si>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</si>
  <si>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</si>
  <si>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</si>
  <si>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</si>
  <si>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</si>
  <si>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</si>
  <si>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</si>
  <si>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</si>
  <si>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</si>
  <si>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</si>
  <si>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</si>
  <si>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</si>
  <si>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</si>
  <si>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</si>
  <si>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</si>
  <si>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</si>
  <si>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</si>
  <si>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</si>
  <si>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</si>
  <si>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</si>
  <si>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</si>
  <si>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</si>
  <si>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</si>
  <si>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</si>
  <si>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</si>
  <si>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</si>
  <si>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</si>
  <si>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</si>
  <si>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</si>
  <si>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</si>
  <si>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</si>
  <si>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</si>
  <si>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</si>
  <si>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</si>
  <si>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</si>
  <si>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</si>
  <si>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</si>
  <si>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</si>
  <si>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</si>
  <si>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</si>
  <si>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</si>
  <si>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</si>
  <si>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</si>
  <si>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</si>
  <si>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</si>
  <si>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</si>
  <si>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</si>
  <si>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</si>
  <si>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</si>
  <si>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</si>
  <si>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</si>
  <si>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</si>
  <si>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</si>
  <si>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</si>
  <si>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</si>
  <si>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</si>
  <si>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</si>
  <si>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</si>
  <si>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</si>
  <si>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</si>
  <si>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</si>
  <si>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</si>
  <si>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</si>
  <si>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</si>
  <si>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</si>
  <si>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</si>
  <si>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</si>
  <si>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</si>
  <si>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</si>
  <si>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</si>
  <si>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</si>
  <si>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</si>
  <si>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</si>
  <si>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</si>
  <si>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</si>
  <si>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</si>
  <si>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</si>
  <si>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</si>
  <si>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</si>
  <si>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</si>
  <si>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</si>
  <si>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</si>
  <si>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</si>
  <si>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</si>
  <si>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</si>
  <si>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</si>
  <si>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</si>
  <si>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</si>
  <si>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</si>
  <si>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</si>
  <si>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</si>
  <si>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</si>
  <si>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</si>
  <si>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</si>
  <si>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</si>
  <si>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</si>
  <si>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</si>
  <si>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</si>
  <si>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</si>
  <si>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</si>
  <si>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</si>
  <si>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</si>
  <si>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</si>
  <si>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</si>
  <si>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</si>
  <si>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</si>
  <si>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</si>
  <si>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</si>
  <si>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</si>
  <si>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</si>
  <si>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</si>
  <si>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</si>
  <si>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</si>
  <si>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</si>
  <si>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</si>
  <si>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</si>
  <si>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</si>
  <si>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</si>
  <si>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</si>
  <si>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</si>
  <si>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</si>
  <si>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</si>
  <si>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</si>
  <si>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</si>
  <si>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</si>
  <si>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</si>
  <si>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</si>
  <si>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</si>
  <si>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</si>
  <si>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</si>
  <si>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</si>
  <si>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</si>
  <si>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</si>
  <si>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</si>
  <si>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</si>
  <si>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</si>
  <si>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</si>
  <si>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</si>
  <si>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</si>
  <si>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</si>
  <si>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</si>
  <si>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</si>
  <si>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</si>
  <si>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</si>
  <si>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</si>
  <si>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</si>
  <si>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</si>
  <si>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</si>
  <si>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</si>
  <si>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</si>
  <si>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</si>
  <si>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</si>
  <si>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</si>
  <si>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</si>
  <si>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</si>
  <si>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</si>
  <si>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</si>
  <si>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</si>
  <si>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</si>
  <si>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</si>
  <si>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</si>
  <si>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AVILES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</si>
</sst>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bSr8DcvTFVLZc2VqCgq0v7o845Bl0ErAsoveFihS0hAQPQAGm1izY+RfVt/a5G3h6oVmPRh3LDdBo1m6Vz03Q==" saltValue="FGSwYK41Kg28h/1Qq92d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12</v>
      </c>
      <c r="F10" s="226">
        <f>IF(ISNUMBER(Datos!K10),Datos!K10," - ")</f>
        <v>13</v>
      </c>
      <c r="G10" s="1034" t="str">
        <f>IF(Datos!E10&lt;&gt;"",Datos!E10,Datos!D10)</f>
        <v>37</v>
      </c>
      <c r="H10" s="227">
        <f>IF(ISNUMBER(Datos!L10),Datos!L10," - ")</f>
        <v>31</v>
      </c>
      <c r="I10" s="1044" t="str">
        <f>IF(ISNUMBER(Datos!AS10/Datos!BM10),Datos!AS10/Datos!BM10," - ")</f>
        <v xml:space="preserve"> - </v>
      </c>
      <c r="J10" s="1045">
        <f>IF(ISNUMBER(Datos!BY10/Datos!CN10),Datos!BY10/Datos!CN10," - ")</f>
        <v>0</v>
      </c>
      <c r="K10" s="230">
        <f t="shared" ref="K10:K12" si="1">IF(ISNUMBER((E10-F10)/C10),(E10-F10)/C10," - ")</f>
        <v>-3.125E-2</v>
      </c>
      <c r="L10" s="1025">
        <f>IF(ISNUMBER(NºAsuntos!I10/NºAsuntos!G10),(NºAsuntos!I10/NºAsuntos!G10)*11," - ")</f>
        <v>26.23076923076923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16.981529368304397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12</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1921</v>
      </c>
      <c r="D16" s="225">
        <f>IF(ISNUMBER(IF(D_I="SI",Datos!I16,Datos!I16+Datos!AC16)),IF(D_I="SI",Datos!I16,Datos!I16+Datos!AC16)," - ")</f>
        <v>1882</v>
      </c>
      <c r="E16" s="226">
        <f>IF(ISNUMBER(IF(D_I="SI",Datos!J16,Datos!J16+Datos!AD16)),IF(D_I="SI",Datos!J16,Datos!J16+Datos!AD16)," - ")</f>
        <v>1821</v>
      </c>
      <c r="F16" s="226">
        <f>IF(ISNUMBER(IF(D_I="SI",Datos!K16,Datos!K16+Datos!AE16)),IF(D_I="SI",Datos!K16,Datos!K16+Datos!AE16)," - ")</f>
        <v>1827</v>
      </c>
      <c r="G16" s="1034" t="str">
        <f>IF(Datos!E16&lt;&gt;"",Datos!E16,Datos!D16)</f>
        <v>04</v>
      </c>
      <c r="H16" s="227">
        <f>IF(ISNUMBER(IF(D_I="SI",Datos!L16,Datos!L16+Datos!AF16)),IF(D_I="SI",Datos!L16,Datos!L16+Datos!AF16)," - ")</f>
        <v>1915</v>
      </c>
      <c r="I16" s="1044" t="str">
        <f>IF(ISNUMBER(Datos!AS16/Datos!BM16),Datos!AS16/Datos!BM16," - ")</f>
        <v xml:space="preserve"> - </v>
      </c>
      <c r="J16" s="1045">
        <f>IF(ISNUMBER(Datos!BY16/Datos!CN16),Datos!BY16/Datos!CN16," - ")</f>
        <v>0</v>
      </c>
      <c r="K16" s="230">
        <f t="shared" si="3"/>
        <v>-3.1233732431025507E-3</v>
      </c>
      <c r="L16" s="1025">
        <f>IF(ISNUMBER(NºAsuntos!I16/NºAsuntos!G16),(NºAsuntos!I16/NºAsuntos!G16)*11," - ")</f>
        <v>11.529830322933773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131</v>
      </c>
      <c r="D17" s="225">
        <f>IF(ISNUMBER(IF(D_I="SI",Datos!I17,Datos!I17+Datos!AC17)),IF(D_I="SI",Datos!I17,Datos!I17+Datos!AC17)," - ")</f>
        <v>128</v>
      </c>
      <c r="E17" s="226">
        <f>IF(ISNUMBER(IF(D_I="SI",Datos!J17,Datos!J17+Datos!AD17)),IF(D_I="SI",Datos!J17,Datos!J17+Datos!AD17)," - ")</f>
        <v>123</v>
      </c>
      <c r="F17" s="226">
        <f>IF(ISNUMBER(IF(D_I="SI",Datos!K17,Datos!K17+Datos!AE17)),IF(D_I="SI",Datos!K17,Datos!K17+Datos!AE17)," - ")</f>
        <v>153</v>
      </c>
      <c r="G17" s="1034" t="str">
        <f>IF(Datos!E17&lt;&gt;"",Datos!E17,Datos!D17)</f>
        <v>37</v>
      </c>
      <c r="H17" s="227">
        <f>IF(ISNUMBER(IF(D_I="SI",Datos!L17,Datos!L17+Datos!AF17)),IF(D_I="SI",Datos!L17,Datos!L17+Datos!AF17)," - ")</f>
        <v>101</v>
      </c>
      <c r="I17" s="1044" t="str">
        <f>IF(ISNUMBER(Datos!AS17/Datos!BM17),Datos!AS17/Datos!BM17," - ")</f>
        <v xml:space="preserve"> - </v>
      </c>
      <c r="J17" s="1045" t="str">
        <f>IF(ISNUMBER((Datos!BY17+Datos!BZ17)/Datos!CN17),(Datos!BY17+Datos!BZ17)/Datos!CN17," - ")</f>
        <v xml:space="preserve"> - </v>
      </c>
      <c r="K17" s="230">
        <f t="shared" si="3"/>
        <v>-0.22900763358778625</v>
      </c>
      <c r="L17" s="1025">
        <f>IF(ISNUMBER(NºAsuntos!I17/NºAsuntos!G17),(NºAsuntos!I17/NºAsuntos!G17)*11," - ")</f>
        <v>7.261437908496732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2052</v>
      </c>
      <c r="D18" s="1049">
        <f>SUBTOTAL(9,D15:D17)</f>
        <v>2010</v>
      </c>
      <c r="E18" s="1050">
        <f>SUBTOTAL(9,E15:E17)</f>
        <v>1944</v>
      </c>
      <c r="F18" s="1050">
        <f>SUBTOTAL(9,F15:F17)</f>
        <v>1980</v>
      </c>
      <c r="G18" s="1052" t="str">
        <f ca="1">INDIRECT(CONCATENATE("G",ROW()-1))</f>
        <v>37</v>
      </c>
      <c r="H18" s="1053">
        <f ca="1">SUMIF(G$14:G17,G18,H$14:H17)</f>
        <v>101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2084</v>
      </c>
      <c r="D19" s="1071">
        <f>SUBTOTAL(9,D9:D18)</f>
        <v>2042</v>
      </c>
      <c r="E19" s="1072">
        <f>SUBTOTAL(9,E9:E18)</f>
        <v>1956</v>
      </c>
      <c r="F19" s="1072">
        <f>SUBTOTAL(9,F9:F18)</f>
        <v>1993</v>
      </c>
      <c r="G19" s="1073"/>
      <c r="H19" s="1074">
        <f ca="1">SUMIF(B9:B18,"TOTAL",H9:H18)</f>
        <v>101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zAFAeWiUkIsmAvzKzzNd2jtakuuIXK09/40jn4rwuHMw2Xq1p36rDd7/fls2pljnBxP261JjeJzsl87PUP9yQ==" saltValue="gfysLM/oE4xQCcFC8Kvd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ob+mEau1kOwjGPdzvbgMT3XbKP9EYrAjEuzhr/vIgWKFycuyCFidhT/Kjxv2ygBbGfeooHFps2DyRs9599Q1A==" saltValue="1K2hLpRx8qxhLIQCm6GR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12</v>
      </c>
      <c r="K10" s="181">
        <v>13</v>
      </c>
      <c r="L10" s="181">
        <v>31</v>
      </c>
      <c r="M10" s="181">
        <v>7</v>
      </c>
      <c r="N10" s="181">
        <v>2</v>
      </c>
      <c r="O10" s="181">
        <v>2</v>
      </c>
      <c r="P10" s="181">
        <v>2</v>
      </c>
      <c r="Q10" s="181">
        <v>0</v>
      </c>
      <c r="R10" s="181">
        <v>12</v>
      </c>
      <c r="S10" s="181">
        <v>22</v>
      </c>
      <c r="T10" s="181">
        <v>29</v>
      </c>
      <c r="U10" s="181">
        <v>15</v>
      </c>
      <c r="V10" s="181">
        <v>31</v>
      </c>
      <c r="W10" s="181">
        <v>5</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29</v>
      </c>
      <c r="BA10" s="129">
        <f t="shared" si="0"/>
        <v>15</v>
      </c>
      <c r="BB10" s="129">
        <f t="shared" si="0"/>
        <v>31</v>
      </c>
      <c r="BC10" s="125">
        <f t="shared" si="0"/>
        <v>5</v>
      </c>
      <c r="BD10" s="126">
        <f>IF(ISNUMBER(BA10/AZ10),BA10/AZ10," - ")</f>
        <v>0.51724137931034486</v>
      </c>
      <c r="BE10" s="127">
        <f>IF(ISNUMBER(BB10/BA10),BB10/BA10, " - ")</f>
        <v>2.0666666666666669</v>
      </c>
      <c r="BF10" s="127">
        <f>IF(ISNUMBER(BC10/BA10),BC10/BA10, " - ")</f>
        <v>0.33333333333333331</v>
      </c>
      <c r="BG10" s="196">
        <f>IF(ISNUMBER((AY10+AZ10)/BA10),(AY10+AZ10)/BA10," - ")</f>
        <v>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4130</v>
      </c>
      <c r="J12" s="183">
        <v>2227</v>
      </c>
      <c r="K12" s="183">
        <v>2430</v>
      </c>
      <c r="L12" s="183">
        <v>3927</v>
      </c>
      <c r="M12" s="183">
        <v>918</v>
      </c>
      <c r="N12" s="183">
        <v>901</v>
      </c>
      <c r="O12" s="181">
        <v>1169</v>
      </c>
      <c r="P12" s="183">
        <v>677</v>
      </c>
      <c r="Q12" s="183">
        <v>432</v>
      </c>
      <c r="R12" s="183">
        <v>6142</v>
      </c>
      <c r="S12" s="183">
        <v>3919</v>
      </c>
      <c r="T12" s="183">
        <v>2144</v>
      </c>
      <c r="U12" s="183">
        <v>2212</v>
      </c>
      <c r="V12" s="183">
        <v>3888</v>
      </c>
      <c r="W12" s="183">
        <v>753</v>
      </c>
      <c r="X12" s="189">
        <v>832</v>
      </c>
      <c r="Y12" s="191">
        <v>291</v>
      </c>
      <c r="Z12" s="181">
        <v>238</v>
      </c>
      <c r="AA12" s="181">
        <v>277</v>
      </c>
      <c r="AB12" s="181">
        <v>252</v>
      </c>
      <c r="AC12" s="183">
        <v>0</v>
      </c>
      <c r="AD12" s="183">
        <v>0</v>
      </c>
      <c r="AE12" s="183">
        <v>0</v>
      </c>
      <c r="AF12" s="189">
        <v>0</v>
      </c>
      <c r="AG12" s="202">
        <v>167</v>
      </c>
      <c r="AH12" s="183">
        <v>196</v>
      </c>
      <c r="AI12" s="183">
        <v>167</v>
      </c>
      <c r="AJ12" s="203">
        <v>196</v>
      </c>
      <c r="AK12" s="182">
        <v>0</v>
      </c>
      <c r="AL12" s="183">
        <v>0</v>
      </c>
      <c r="AM12" s="183">
        <v>0</v>
      </c>
      <c r="AN12" s="189">
        <v>0</v>
      </c>
      <c r="AO12" s="259">
        <v>8</v>
      </c>
      <c r="AP12" s="155">
        <v>8</v>
      </c>
      <c r="AQ12" s="155">
        <v>8</v>
      </c>
      <c r="AR12" s="154">
        <v>8</v>
      </c>
      <c r="AS12" s="340" t="s">
        <v>802</v>
      </c>
      <c r="AT12" s="203"/>
      <c r="AU12" s="202"/>
      <c r="AV12" s="203"/>
      <c r="AW12" s="202"/>
      <c r="AX12" s="203"/>
      <c r="AY12" s="126">
        <f t="shared" si="1"/>
        <v>4086</v>
      </c>
      <c r="AZ12" s="127">
        <f t="shared" si="1"/>
        <v>2340</v>
      </c>
      <c r="BA12" s="127">
        <f t="shared" si="1"/>
        <v>2379</v>
      </c>
      <c r="BB12" s="127">
        <f t="shared" si="1"/>
        <v>4084</v>
      </c>
      <c r="BC12" s="125">
        <f>IF(ISNUMBER(X12),X12," - ")</f>
        <v>832</v>
      </c>
      <c r="BD12" s="126">
        <f t="shared" si="2"/>
        <v>1.0166666666666666</v>
      </c>
      <c r="BE12" s="127">
        <f t="shared" si="3"/>
        <v>1.7166876839007987</v>
      </c>
      <c r="BF12" s="127">
        <f t="shared" si="4"/>
        <v>0.34972677595628415</v>
      </c>
      <c r="BG12" s="196">
        <f t="shared" si="5"/>
        <v>2.7011349306431272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4162</v>
      </c>
      <c r="J13" s="184">
        <f t="shared" si="6"/>
        <v>2239</v>
      </c>
      <c r="K13" s="184">
        <f t="shared" si="6"/>
        <v>2443</v>
      </c>
      <c r="L13" s="184">
        <f t="shared" si="6"/>
        <v>3958</v>
      </c>
      <c r="M13" s="184">
        <f t="shared" si="6"/>
        <v>925</v>
      </c>
      <c r="N13" s="184">
        <f t="shared" si="6"/>
        <v>903</v>
      </c>
      <c r="O13" s="184">
        <f t="shared" si="6"/>
        <v>1171</v>
      </c>
      <c r="P13" s="184">
        <f t="shared" si="6"/>
        <v>679</v>
      </c>
      <c r="Q13" s="184">
        <f t="shared" si="6"/>
        <v>432</v>
      </c>
      <c r="R13" s="184">
        <f t="shared" si="6"/>
        <v>6154</v>
      </c>
      <c r="S13" s="184">
        <f t="shared" si="6"/>
        <v>3941</v>
      </c>
      <c r="T13" s="184">
        <f t="shared" si="6"/>
        <v>2173</v>
      </c>
      <c r="U13" s="184">
        <f t="shared" si="6"/>
        <v>2227</v>
      </c>
      <c r="V13" s="184">
        <f t="shared" si="6"/>
        <v>3919</v>
      </c>
      <c r="W13" s="184">
        <f t="shared" si="6"/>
        <v>758</v>
      </c>
      <c r="X13" s="184">
        <f t="shared" si="6"/>
        <v>839</v>
      </c>
      <c r="Y13" s="184">
        <f t="shared" si="6"/>
        <v>291</v>
      </c>
      <c r="Z13" s="184">
        <f t="shared" si="6"/>
        <v>238</v>
      </c>
      <c r="AA13" s="184">
        <f t="shared" si="6"/>
        <v>277</v>
      </c>
      <c r="AB13" s="184">
        <f t="shared" si="6"/>
        <v>252</v>
      </c>
      <c r="AC13" s="184">
        <f t="shared" si="6"/>
        <v>0</v>
      </c>
      <c r="AD13" s="184">
        <f t="shared" si="6"/>
        <v>0</v>
      </c>
      <c r="AE13" s="184">
        <f t="shared" si="6"/>
        <v>0</v>
      </c>
      <c r="AF13" s="184">
        <f>SUBTOTAL(9,AF9:AF12)</f>
        <v>0</v>
      </c>
      <c r="AG13" s="184">
        <f t="shared" ref="AG13:AT13" si="7">SUBTOTAL(9,AG8:AG12)</f>
        <v>167</v>
      </c>
      <c r="AH13" s="184">
        <f t="shared" si="7"/>
        <v>196</v>
      </c>
      <c r="AI13" s="184">
        <f t="shared" si="7"/>
        <v>167</v>
      </c>
      <c r="AJ13" s="184">
        <f t="shared" si="7"/>
        <v>196</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4108</v>
      </c>
      <c r="AZ13" s="184">
        <f>SUBTOTAL(9,AZ8:AZ12)</f>
        <v>2369</v>
      </c>
      <c r="BA13" s="184">
        <f>SUBTOTAL(9,BA8:BA12)</f>
        <v>2394</v>
      </c>
      <c r="BB13" s="184">
        <f>SUBTOTAL(9,BB8:BB12)</f>
        <v>4115</v>
      </c>
      <c r="BC13" s="184">
        <f>SUBTOTAL(9,BC8:BC12)</f>
        <v>837</v>
      </c>
      <c r="BD13" s="205">
        <f>IF(ISNUMBER(BA13/AZ13),BA13/AZ13," - ")</f>
        <v>1.0105529759392149</v>
      </c>
      <c r="BE13" s="206">
        <f>IF(ISNUMBER(BB13/BA13),BB13/BA13, " - ")</f>
        <v>1.7188805346700085</v>
      </c>
      <c r="BF13" s="206">
        <f>IF(ISNUMBER(BC13/BA13),BC13/BA13, " - ")</f>
        <v>0.34962406015037595</v>
      </c>
      <c r="BG13" s="207">
        <f>IF(ISNUMBER((AY13+AZ13)/BA13),(AY13+AZ13)/BA13," - ")</f>
        <v>2.7055137844611528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1882</v>
      </c>
      <c r="J16" s="183">
        <v>1821</v>
      </c>
      <c r="K16" s="183">
        <v>1827</v>
      </c>
      <c r="L16" s="183">
        <v>1915</v>
      </c>
      <c r="M16" s="183">
        <v>206</v>
      </c>
      <c r="N16" s="183">
        <v>1057</v>
      </c>
      <c r="O16" s="181">
        <v>42</v>
      </c>
      <c r="P16" s="183">
        <v>67</v>
      </c>
      <c r="Q16" s="183">
        <v>61</v>
      </c>
      <c r="R16" s="183">
        <v>348</v>
      </c>
      <c r="S16" s="183">
        <v>1748</v>
      </c>
      <c r="T16" s="183">
        <v>1702</v>
      </c>
      <c r="U16" s="183">
        <v>1788</v>
      </c>
      <c r="V16" s="183">
        <v>1737</v>
      </c>
      <c r="W16" s="183">
        <v>247</v>
      </c>
      <c r="X16" s="189">
        <v>1139</v>
      </c>
      <c r="Y16" s="202">
        <v>0</v>
      </c>
      <c r="Z16" s="183">
        <v>0</v>
      </c>
      <c r="AA16" s="183">
        <v>0</v>
      </c>
      <c r="AB16" s="183">
        <v>0</v>
      </c>
      <c r="AC16" s="183">
        <v>4</v>
      </c>
      <c r="AD16" s="183">
        <v>120</v>
      </c>
      <c r="AE16" s="183">
        <v>118</v>
      </c>
      <c r="AF16" s="189">
        <v>6</v>
      </c>
      <c r="AG16" s="202">
        <v>0</v>
      </c>
      <c r="AH16" s="183">
        <v>0</v>
      </c>
      <c r="AI16" s="183">
        <v>0</v>
      </c>
      <c r="AJ16" s="203">
        <v>0</v>
      </c>
      <c r="AK16" s="182">
        <v>10</v>
      </c>
      <c r="AL16" s="183">
        <v>69</v>
      </c>
      <c r="AM16" s="183">
        <v>72</v>
      </c>
      <c r="AN16" s="189">
        <v>7</v>
      </c>
      <c r="AO16" s="259">
        <v>8</v>
      </c>
      <c r="AP16" s="155">
        <v>8</v>
      </c>
      <c r="AQ16" s="155">
        <v>8</v>
      </c>
      <c r="AR16" s="155">
        <v>8</v>
      </c>
      <c r="AS16" s="340" t="s">
        <v>487</v>
      </c>
      <c r="AT16" s="203"/>
      <c r="AU16" s="202"/>
      <c r="AV16" s="203"/>
      <c r="AW16" s="202"/>
      <c r="AX16" s="203"/>
      <c r="AY16" s="126">
        <f t="shared" si="9"/>
        <v>1748</v>
      </c>
      <c r="AZ16" s="127">
        <f t="shared" si="9"/>
        <v>1702</v>
      </c>
      <c r="BA16" s="127">
        <f t="shared" si="9"/>
        <v>1788</v>
      </c>
      <c r="BB16" s="127">
        <f t="shared" si="9"/>
        <v>1737</v>
      </c>
      <c r="BC16" s="125">
        <f>IF(ISNUMBER(W16),W16," - ")</f>
        <v>247</v>
      </c>
      <c r="BD16" s="126">
        <f t="shared" ref="BD16" si="11">IF(ISNUMBER(BA16/AZ16),BA16/AZ16," - ")</f>
        <v>1.0505287896592244</v>
      </c>
      <c r="BE16" s="127">
        <f t="shared" ref="BE16" si="12">IF(ISNUMBER(BB16/BA16),BB16/BA16, " - ")</f>
        <v>0.97147651006711411</v>
      </c>
      <c r="BF16" s="127">
        <f t="shared" ref="BF16" si="13">IF(ISNUMBER(BC16/BA16),BC16/BA16, " - ")</f>
        <v>0.13814317673378076</v>
      </c>
      <c r="BG16" s="196">
        <f t="shared" si="10"/>
        <v>1.9295302013422819</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128</v>
      </c>
      <c r="J17" s="183">
        <v>123</v>
      </c>
      <c r="K17" s="183">
        <v>153</v>
      </c>
      <c r="L17" s="183">
        <v>101</v>
      </c>
      <c r="M17" s="183">
        <v>22</v>
      </c>
      <c r="N17" s="183">
        <v>53</v>
      </c>
      <c r="O17" s="183">
        <v>5</v>
      </c>
      <c r="P17" s="183">
        <v>3</v>
      </c>
      <c r="Q17" s="183">
        <v>5</v>
      </c>
      <c r="R17" s="183">
        <v>12</v>
      </c>
      <c r="S17" s="183">
        <v>90</v>
      </c>
      <c r="T17" s="183">
        <v>131</v>
      </c>
      <c r="U17" s="183">
        <v>153</v>
      </c>
      <c r="V17" s="183">
        <v>136</v>
      </c>
      <c r="W17" s="183">
        <v>22</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90</v>
      </c>
      <c r="AZ17" s="129">
        <f t="shared" si="14"/>
        <v>131</v>
      </c>
      <c r="BA17" s="129">
        <f t="shared" si="14"/>
        <v>153</v>
      </c>
      <c r="BB17" s="129">
        <f t="shared" si="14"/>
        <v>136</v>
      </c>
      <c r="BC17" s="125">
        <f>IF(ISNUMBER(W17),W17," - ")</f>
        <v>22</v>
      </c>
      <c r="BD17" s="126">
        <f>IF(ISNUMBER(BA17/AZ17),BA17/AZ17," - ")</f>
        <v>1.16793893129771</v>
      </c>
      <c r="BE17" s="127">
        <f>IF(ISNUMBER(BB17/BA17),BB17/BA17, " - ")</f>
        <v>0.88888888888888884</v>
      </c>
      <c r="BF17" s="127">
        <f>IF(ISNUMBER(BC17/BA17),BC17/BA17, " - ")</f>
        <v>0.1437908496732026</v>
      </c>
      <c r="BG17" s="196">
        <f>IF(ISNUMBER((AY17+AZ17)/BA17),(AY17+AZ17)/BA17," - ")</f>
        <v>1.4444444444444444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2010</v>
      </c>
      <c r="J18" s="184">
        <f t="shared" si="15"/>
        <v>1944</v>
      </c>
      <c r="K18" s="184">
        <f t="shared" si="15"/>
        <v>1980</v>
      </c>
      <c r="L18" s="184">
        <f t="shared" si="15"/>
        <v>2016</v>
      </c>
      <c r="M18" s="184">
        <f t="shared" si="15"/>
        <v>228</v>
      </c>
      <c r="N18" s="184">
        <f t="shared" si="15"/>
        <v>1110</v>
      </c>
      <c r="O18" s="184">
        <f t="shared" si="15"/>
        <v>47</v>
      </c>
      <c r="P18" s="184">
        <f t="shared" si="15"/>
        <v>70</v>
      </c>
      <c r="Q18" s="184">
        <f t="shared" si="15"/>
        <v>66</v>
      </c>
      <c r="R18" s="184">
        <f t="shared" si="15"/>
        <v>360</v>
      </c>
      <c r="S18" s="184">
        <f t="shared" si="15"/>
        <v>1838</v>
      </c>
      <c r="T18" s="184">
        <f t="shared" si="15"/>
        <v>1833</v>
      </c>
      <c r="U18" s="184">
        <f t="shared" si="15"/>
        <v>1941</v>
      </c>
      <c r="V18" s="184">
        <f t="shared" si="15"/>
        <v>1873</v>
      </c>
      <c r="W18" s="184">
        <f t="shared" si="15"/>
        <v>269</v>
      </c>
      <c r="X18" s="184">
        <f t="shared" si="15"/>
        <v>1186</v>
      </c>
      <c r="Y18" s="184">
        <f t="shared" si="15"/>
        <v>0</v>
      </c>
      <c r="Z18" s="184">
        <f t="shared" si="15"/>
        <v>0</v>
      </c>
      <c r="AA18" s="184">
        <f t="shared" si="15"/>
        <v>0</v>
      </c>
      <c r="AB18" s="184">
        <f t="shared" si="15"/>
        <v>0</v>
      </c>
      <c r="AC18" s="184">
        <f t="shared" si="15"/>
        <v>4</v>
      </c>
      <c r="AD18" s="184">
        <f t="shared" si="15"/>
        <v>120</v>
      </c>
      <c r="AE18" s="184">
        <f t="shared" si="15"/>
        <v>118</v>
      </c>
      <c r="AF18" s="184">
        <f t="shared" si="15"/>
        <v>6</v>
      </c>
      <c r="AG18" s="184">
        <f t="shared" si="15"/>
        <v>0</v>
      </c>
      <c r="AH18" s="184">
        <f t="shared" si="15"/>
        <v>0</v>
      </c>
      <c r="AI18" s="184">
        <f t="shared" si="15"/>
        <v>0</v>
      </c>
      <c r="AJ18" s="184">
        <f t="shared" si="15"/>
        <v>0</v>
      </c>
      <c r="AK18" s="184">
        <f t="shared" si="15"/>
        <v>10</v>
      </c>
      <c r="AL18" s="184">
        <f t="shared" si="15"/>
        <v>69</v>
      </c>
      <c r="AM18" s="184">
        <f t="shared" si="15"/>
        <v>72</v>
      </c>
      <c r="AN18" s="184">
        <f t="shared" si="15"/>
        <v>7</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1838</v>
      </c>
      <c r="AZ18" s="184">
        <f>SUBTOTAL(9,AZ14:AZ17)</f>
        <v>1833</v>
      </c>
      <c r="BA18" s="184">
        <f>SUBTOTAL(9,BA14:BA17)</f>
        <v>1941</v>
      </c>
      <c r="BB18" s="184">
        <f>SUBTOTAL(9,BB14:BB17)</f>
        <v>1873</v>
      </c>
      <c r="BC18" s="184">
        <f>SUBTOTAL(9,BC14:BC17)</f>
        <v>269</v>
      </c>
      <c r="BD18" s="205">
        <f>IF(ISNUMBER(BA18/AZ18),BA18/AZ18," - ")</f>
        <v>1.0589198036006546</v>
      </c>
      <c r="BE18" s="206">
        <f>IF(ISNUMBER(BB18/BA18),BB18/BA18, " - ")</f>
        <v>0.96496651210716122</v>
      </c>
      <c r="BF18" s="206">
        <f>IF(ISNUMBER(BC18/BA18),BC18/BA18, " - ")</f>
        <v>0.13858835651725915</v>
      </c>
      <c r="BG18" s="207">
        <f>IF(ISNUMBER((AY18+AZ18)/BA18),(AY18+AZ18)/BA18," - ")</f>
        <v>1.8912931478619268</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6172</v>
      </c>
      <c r="J19" s="134">
        <f t="shared" si="18"/>
        <v>4183</v>
      </c>
      <c r="K19" s="134">
        <f t="shared" si="18"/>
        <v>4423</v>
      </c>
      <c r="L19" s="134">
        <f t="shared" si="18"/>
        <v>5974</v>
      </c>
      <c r="M19" s="134">
        <f t="shared" si="18"/>
        <v>1153</v>
      </c>
      <c r="N19" s="134">
        <f t="shared" si="18"/>
        <v>2013</v>
      </c>
      <c r="O19" s="134">
        <f t="shared" si="18"/>
        <v>1218</v>
      </c>
      <c r="P19" s="134">
        <f t="shared" si="18"/>
        <v>749</v>
      </c>
      <c r="Q19" s="134">
        <f t="shared" si="18"/>
        <v>498</v>
      </c>
      <c r="R19" s="134">
        <f t="shared" si="18"/>
        <v>6514</v>
      </c>
      <c r="S19" s="134">
        <f t="shared" si="18"/>
        <v>5779</v>
      </c>
      <c r="T19" s="134">
        <f t="shared" si="18"/>
        <v>4006</v>
      </c>
      <c r="U19" s="134">
        <f t="shared" si="18"/>
        <v>4168</v>
      </c>
      <c r="V19" s="134">
        <f t="shared" si="18"/>
        <v>5792</v>
      </c>
      <c r="W19" s="134">
        <f t="shared" si="18"/>
        <v>1027</v>
      </c>
      <c r="X19" s="134">
        <f t="shared" si="18"/>
        <v>2025</v>
      </c>
      <c r="Y19" s="134">
        <f t="shared" si="18"/>
        <v>291</v>
      </c>
      <c r="Z19" s="134">
        <f t="shared" si="18"/>
        <v>238</v>
      </c>
      <c r="AA19" s="134">
        <f t="shared" si="18"/>
        <v>277</v>
      </c>
      <c r="AB19" s="134">
        <f t="shared" si="18"/>
        <v>252</v>
      </c>
      <c r="AC19" s="134">
        <f t="shared" si="18"/>
        <v>4</v>
      </c>
      <c r="AD19" s="134">
        <f t="shared" si="18"/>
        <v>120</v>
      </c>
      <c r="AE19" s="134">
        <f t="shared" si="18"/>
        <v>118</v>
      </c>
      <c r="AF19" s="134">
        <f t="shared" si="18"/>
        <v>6</v>
      </c>
      <c r="AG19" s="134">
        <f t="shared" si="18"/>
        <v>167</v>
      </c>
      <c r="AH19" s="134">
        <f t="shared" si="18"/>
        <v>196</v>
      </c>
      <c r="AI19" s="134">
        <f t="shared" si="18"/>
        <v>167</v>
      </c>
      <c r="AJ19" s="134">
        <f t="shared" si="18"/>
        <v>196</v>
      </c>
      <c r="AK19" s="134">
        <f t="shared" si="18"/>
        <v>10</v>
      </c>
      <c r="AL19" s="134">
        <f t="shared" si="18"/>
        <v>69</v>
      </c>
      <c r="AM19" s="134">
        <f t="shared" si="18"/>
        <v>72</v>
      </c>
      <c r="AN19" s="210">
        <f t="shared" si="18"/>
        <v>7</v>
      </c>
      <c r="AO19" s="211">
        <v>9</v>
      </c>
      <c r="AP19" s="211">
        <v>8</v>
      </c>
      <c r="AQ19" s="211">
        <v>8</v>
      </c>
      <c r="AR19" s="211">
        <v>8</v>
      </c>
      <c r="AS19" s="153">
        <f t="shared" si="18"/>
        <v>0</v>
      </c>
      <c r="AT19" s="153">
        <f t="shared" si="18"/>
        <v>0</v>
      </c>
      <c r="AU19" s="211"/>
      <c r="AV19" s="212"/>
      <c r="AW19" s="211"/>
      <c r="AX19" s="212"/>
      <c r="AY19" s="133">
        <f>SUBTOTAL(9,AY9:AY18)</f>
        <v>5946</v>
      </c>
      <c r="AZ19" s="134">
        <f>SUBTOTAL(9,AZ9:AZ18)</f>
        <v>4202</v>
      </c>
      <c r="BA19" s="134">
        <f>SUBTOTAL(9,BA9:BA18)</f>
        <v>4335</v>
      </c>
      <c r="BB19" s="134">
        <f>SUBTOTAL(9,BB9:BB18)</f>
        <v>5988</v>
      </c>
      <c r="BC19" s="135">
        <f>SUBTOTAL(9,BC9:BC18)</f>
        <v>1106</v>
      </c>
      <c r="BD19" s="213">
        <f>IF(ISNUMBER(BA19/AZ19),BA19/AZ19," - ")</f>
        <v>1.0316515944788196</v>
      </c>
      <c r="BE19" s="210">
        <f>IF(ISNUMBER(BB19/BA19),BB19/BA19, " - ")</f>
        <v>1.3813148788927336</v>
      </c>
      <c r="BF19" s="210">
        <f>IF(ISNUMBER(BC19/BA19),BC19/BA19, " - ")</f>
        <v>0.25513264129181085</v>
      </c>
      <c r="BG19" s="135">
        <f>IF(ISNUMBER((AY19+AZ19)/BA19),(AY19+AZ19)/BA19," - ")</f>
        <v>2.3409457900807382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QVW62yQHOrsGAvaEtpUYbtar+crcs+UVBATxeVDn4s8i+S+O40KqINm/Q0zCglbZ34xOugclyiiokqO2hFtUg==" saltValue="rfzS3a4ppwfbaO40X2nQ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bkG9IDkH7l80T296C9u8LKN3PbJPGodbCdXAItGgvyJoi7j7yVoeTP8KrFSA0kfMPTRDN0wquHc+HVvaG8A==" saltValue="r9MnR7vBHggt/w0DP3J0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0</v>
      </c>
      <c r="AD10" s="334"/>
      <c r="AE10" s="484"/>
      <c r="AF10" s="332">
        <f>IF(ISNUMBER(Datos!L10),Datos!L10,"-")</f>
        <v>31</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2</v>
      </c>
      <c r="BE10" s="229" t="str">
        <f>IF(ISNUMBER(Datos!BW10),Datos!BW10," - ")</f>
        <v xml:space="preserve"> - </v>
      </c>
      <c r="BF10" s="228" t="str">
        <f>IF(ISNUMBER(Datos!BX10),Datos!BX10," - ")</f>
        <v xml:space="preserve"> - </v>
      </c>
      <c r="BG10" s="243">
        <f>IF(ISNUMBER(Datos!K10/Datos!J10),Datos!K10/Datos!J10," - ")</f>
        <v>1.0833333333333333</v>
      </c>
      <c r="BH10" s="260">
        <f>IF(ISNUMBER(((Datos!L10/Datos!K10)*11)/factor_trimestre),((Datos!L10/Datos!K10)*11)/factor_trimestre," - ")</f>
        <v>7.1538461538461542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238</v>
      </c>
      <c r="O12" s="334"/>
      <c r="P12" s="334"/>
      <c r="Q12" s="226">
        <f>IF(ISNUMBER(Datos!P12),Datos!P12,0)</f>
        <v>677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252</v>
      </c>
      <c r="AI12" s="334" t="str">
        <f>IF(ISNUMBER(Datos!CD12),Datos!CD12,"-")</f>
        <v>-</v>
      </c>
      <c r="AJ12" s="334" t="str">
        <f>IF(ISNUMBER(Datos!EN12),Datos!EN12," - ")</f>
        <v xml:space="preserve"> - </v>
      </c>
      <c r="AK12" s="334"/>
      <c r="AL12" s="479"/>
      <c r="AM12" s="335">
        <f>IF(ISNUMBER(Datos!R12),Datos!R12," - ")</f>
        <v>6142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918</v>
      </c>
      <c r="BD12" s="229">
        <f>IF(ISNUMBER(Datos!N12),Datos!N12," - ")</f>
        <v>901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1.0981744421906694</v>
      </c>
      <c r="BH12" s="260">
        <f>IF(ISNUMBER(((IF(J_V="SI",Datos!L12/Datos!K12,(Datos!L12+Datos!AB12)/(Datos!K12+Datos!AA12)))*11)/factor_trimestre),((IF(J_V="SI",Datos!L12/Datos!K12,(Datos!L12+Datos!AB12)/(Datos!K12+Datos!AA12)))*11)/factor_trimestre," - ")</f>
        <v>4.6313261913557451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4.1546549092759032E-2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238</v>
      </c>
      <c r="O13" s="900">
        <f t="shared" si="0"/>
        <v>0</v>
      </c>
      <c r="P13" s="900">
        <f t="shared" si="0"/>
        <v>0</v>
      </c>
      <c r="Q13" s="899">
        <f t="shared" si="0"/>
        <v>679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432</v>
      </c>
      <c r="AD13" s="899">
        <f t="shared" si="1"/>
        <v>0</v>
      </c>
      <c r="AE13" s="899">
        <f t="shared" si="1"/>
        <v>0</v>
      </c>
      <c r="AF13" s="899">
        <f t="shared" si="1"/>
        <v>31</v>
      </c>
      <c r="AG13" s="899">
        <f t="shared" si="1"/>
        <v>0</v>
      </c>
      <c r="AH13" s="899">
        <f t="shared" si="1"/>
        <v>252</v>
      </c>
      <c r="AI13" s="899">
        <f t="shared" si="1"/>
        <v>0</v>
      </c>
      <c r="AJ13" s="899">
        <f t="shared" si="1"/>
        <v>0</v>
      </c>
      <c r="AK13" s="899">
        <f t="shared" si="1"/>
        <v>0</v>
      </c>
      <c r="AL13" s="899">
        <f t="shared" si="1"/>
        <v>0</v>
      </c>
      <c r="AM13" s="899">
        <f t="shared" si="1"/>
        <v>6154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925</v>
      </c>
      <c r="BD13" s="899">
        <f t="shared" si="1"/>
        <v>903</v>
      </c>
      <c r="BE13" s="899">
        <f t="shared" si="1"/>
        <v>0</v>
      </c>
      <c r="BF13" s="899">
        <f t="shared" si="1"/>
        <v>0</v>
      </c>
      <c r="BG13" s="899">
        <f>IF(ISNUMBER(Datos!K13/Datos!J13),Datos!K13/Datos!J13," - ")</f>
        <v>1.0911121036176865</v>
      </c>
      <c r="BH13" s="903">
        <f>IF(ISNUMBER(((Datos!L13/Datos!K13)*11)/factor_trimestre),((Datos!L13/Datos!K13)*11)/factor_trimestre," - ")</f>
        <v>4.8604175194433079</v>
      </c>
      <c r="BI13" s="899">
        <f>IF(ISNUMBER('Resol  Asuntos'!D13/NºAsuntos!G13),'Resol  Asuntos'!D13/NºAsuntos!G13," - ")</f>
        <v>0.34007352941176472</v>
      </c>
      <c r="BJ13" s="899" t="str">
        <f>IF(ISNUMBER(Datos!CI13/Datos!CJ13),Datos!CI13/Datos!CJ13," - ")</f>
        <v xml:space="preserve"> - </v>
      </c>
      <c r="BK13" s="899">
        <f>SUBTOTAL(9,BK8:BK12)</f>
        <v>0</v>
      </c>
      <c r="BL13" s="899">
        <f>IF(ISNUMBER((I13-AB13+L13)/(F13)),(I13-AB13+L13)/(F13)," - ")</f>
        <v>-0.40625</v>
      </c>
      <c r="BM13" s="904">
        <f>SUBTOTAL(9,BM9:BM12)</f>
        <v>0.24154654909275905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1921</v>
      </c>
      <c r="G16" s="598">
        <f>IF(ISNUMBER(IF(D_I="SI",Datos!I16,Datos!I16+Datos!AC16)),IF(D_I="SI",Datos!I16,Datos!I16+Datos!AC16)," - ")</f>
        <v>1882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1827</v>
      </c>
      <c r="AC16" s="226">
        <f>IF(ISNUMBER(Datos!Q16),Datos!Q16," - ")</f>
        <v>61</v>
      </c>
      <c r="AD16" s="334"/>
      <c r="AE16" s="484"/>
      <c r="AF16" s="596">
        <f>IF(ISNUMBER(IF(D_I="SI",Datos!L16,Datos!L16+Datos!AF16)),IF(D_I="SI",Datos!L16,Datos!L16+Datos!AF16)," - ")</f>
        <v>1915</v>
      </c>
      <c r="AG16" s="334"/>
      <c r="AH16" s="334"/>
      <c r="AI16" s="334"/>
      <c r="AJ16" s="334"/>
      <c r="AK16" s="334"/>
      <c r="AL16" s="479"/>
      <c r="AM16" s="335">
        <f>IF(ISNUMBER(Datos!R16),Datos!R16," - ")</f>
        <v>348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206</v>
      </c>
      <c r="BD16" s="229">
        <f>IF(ISNUMBER(Datos!N16),Datos!N16," - ")</f>
        <v>1057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1.0032948929159802</v>
      </c>
      <c r="BH16" s="260">
        <f>IF(ISNUMBER(((IF(D_I="SI",Datos!L16/Datos!K16,(Datos!L16+Datos!AF16)/(Datos!K16+Datos!AE16)))*11)/factor_trimestre),((IF(D_I="SI",Datos!L16/Datos!K16,(Datos!L16+Datos!AF16)/(Datos!K16+Datos!AE16)))*11)/factor_trimestre," - ")</f>
        <v>3.1444991789819383</v>
      </c>
      <c r="BI16" s="243">
        <f>IF(ISNUMBER('Resol  Asuntos'!D16/NºAsuntos!G16),'Resol  Asuntos'!D16/NºAsuntos!G16," - ")</f>
        <v>0.11275314723590586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153</v>
      </c>
      <c r="AC17" s="226">
        <f>IF(ISNUMBER(Datos!Q17),Datos!Q17," - ")</f>
        <v>5</v>
      </c>
      <c r="AD17" s="334"/>
      <c r="AE17" s="484"/>
      <c r="AF17" s="332">
        <f>IF(ISNUMBER(Datos!L17),Datos!L17,"-")</f>
        <v>101</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1.2439024390243902</v>
      </c>
      <c r="BH17" s="260">
        <f>IF(ISNUMBER(((IF(D_I="SI",Datos!L17/Datos!K17,(Datos!L17+Datos!AF17)/(Datos!K17+Datos!AE17)))*11)/factor_trimestre),((IF(D_I="SI",Datos!L17/Datos!K17,(Datos!L17+Datos!AF17)/(Datos!K17+Datos!AE17)))*11)/factor_trimestre," - ")</f>
        <v>1.9803921568627452</v>
      </c>
      <c r="BI17" s="243">
        <f>IF(ISNUMBER('Resol  Asuntos'!D17/NºAsuntos!G17),'Resol  Asuntos'!D17/NºAsuntos!G17," - ")</f>
        <v>0.1437908496732026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1921</v>
      </c>
      <c r="G18" s="898">
        <f>SUBTOTAL(9,G15:G17)</f>
        <v>2010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1980</v>
      </c>
      <c r="AC18" s="899">
        <f t="shared" si="4"/>
        <v>66</v>
      </c>
      <c r="AD18" s="899">
        <f t="shared" si="4"/>
        <v>0</v>
      </c>
      <c r="AE18" s="899">
        <f t="shared" si="4"/>
        <v>0</v>
      </c>
      <c r="AF18" s="899">
        <f t="shared" si="4"/>
        <v>2016</v>
      </c>
      <c r="AG18" s="899">
        <f t="shared" si="4"/>
        <v>0</v>
      </c>
      <c r="AH18" s="899">
        <f t="shared" si="4"/>
        <v>0</v>
      </c>
      <c r="AI18" s="899">
        <f t="shared" si="4"/>
        <v>0</v>
      </c>
      <c r="AJ18" s="899">
        <f t="shared" si="4"/>
        <v>0</v>
      </c>
      <c r="AK18" s="899">
        <f t="shared" si="4"/>
        <v>0</v>
      </c>
      <c r="AL18" s="899">
        <f t="shared" si="4"/>
        <v>0</v>
      </c>
      <c r="AM18" s="899">
        <f t="shared" si="4"/>
        <v>360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228</v>
      </c>
      <c r="BD18" s="899">
        <f t="shared" si="4"/>
        <v>1110</v>
      </c>
      <c r="BE18" s="899">
        <f t="shared" si="4"/>
        <v>0</v>
      </c>
      <c r="BF18" s="899">
        <f t="shared" si="4"/>
        <v>0</v>
      </c>
      <c r="BG18" s="899">
        <f>IF(ISNUMBER(Datos!K18/Datos!J18),Datos!K18/Datos!J18," - ")</f>
        <v>1.0185185185185186</v>
      </c>
      <c r="BH18" s="903">
        <f>IF(ISNUMBER(((Datos!L18/Datos!K18)*11)/factor_trimestre),((Datos!L18/Datos!K18)*11)/factor_trimestre," - ")</f>
        <v>3.0545454545454547</v>
      </c>
      <c r="BI18" s="899">
        <f>SUBTOTAL(9,BI15:BI17)</f>
        <v>0.25654399690910845</v>
      </c>
      <c r="BJ18" s="899">
        <f>SUBTOTAL(9,BJ15:BJ17)</f>
        <v>0</v>
      </c>
      <c r="BK18" s="899">
        <f>SUBTOTAL(9,BK15:BK17)</f>
        <v>0</v>
      </c>
      <c r="BL18" s="899">
        <f>IF(ISNUMBER((I18-AB18+L18)/(F18)),(I18-AB18+L18)/(F18)," - ")</f>
        <v>-1.0307131702238417</v>
      </c>
      <c r="BM18" s="905">
        <f>IF(ISNUMBER((Datos!P18-Datos!Q18)/(Datos!R18-Datos!P18+Datos!Q18)),(Datos!P18-Datos!Q18)/(Datos!R18-Datos!P18+Datos!Q18)," - ")</f>
        <v>1.1235955056179775E-2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1953</v>
      </c>
      <c r="G19" s="820">
        <f t="shared" si="6"/>
        <v>2042</v>
      </c>
      <c r="H19" s="822">
        <f t="shared" si="6"/>
        <v>0</v>
      </c>
      <c r="I19" s="820">
        <f t="shared" si="6"/>
        <v>0</v>
      </c>
      <c r="J19" s="822">
        <f t="shared" si="6"/>
        <v>0</v>
      </c>
      <c r="K19" s="822">
        <f t="shared" si="6"/>
        <v>0</v>
      </c>
      <c r="L19" s="881">
        <f t="shared" si="6"/>
        <v>0</v>
      </c>
      <c r="M19" s="881">
        <f t="shared" si="6"/>
        <v>0</v>
      </c>
      <c r="N19" s="881">
        <f t="shared" si="6"/>
        <v>238</v>
      </c>
      <c r="O19" s="881">
        <f t="shared" si="6"/>
        <v>0</v>
      </c>
      <c r="P19" s="881">
        <f t="shared" si="6"/>
        <v>0</v>
      </c>
      <c r="Q19" s="822">
        <f t="shared" si="6"/>
        <v>749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1993</v>
      </c>
      <c r="AC19" s="821">
        <f t="shared" si="7"/>
        <v>498</v>
      </c>
      <c r="AD19" s="821">
        <f t="shared" si="7"/>
        <v>0</v>
      </c>
      <c r="AE19" s="821">
        <f t="shared" si="7"/>
        <v>0</v>
      </c>
      <c r="AF19" s="828">
        <f t="shared" si="7"/>
        <v>2047</v>
      </c>
      <c r="AG19" s="828">
        <f t="shared" si="7"/>
        <v>0</v>
      </c>
      <c r="AH19" s="828">
        <f t="shared" si="7"/>
        <v>252</v>
      </c>
      <c r="AI19" s="828">
        <f t="shared" si="7"/>
        <v>0</v>
      </c>
      <c r="AJ19" s="821">
        <f t="shared" si="7"/>
        <v>0</v>
      </c>
      <c r="AK19" s="828">
        <f t="shared" si="7"/>
        <v>0</v>
      </c>
      <c r="AL19" s="828">
        <f t="shared" si="7"/>
        <v>0</v>
      </c>
      <c r="AM19" s="828">
        <f t="shared" si="7"/>
        <v>6514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1153</v>
      </c>
      <c r="BD19" s="820">
        <f t="shared" si="7"/>
        <v>2013</v>
      </c>
      <c r="BE19" s="820">
        <f t="shared" si="7"/>
        <v>0</v>
      </c>
      <c r="BF19" s="830">
        <f t="shared" si="7"/>
        <v>0</v>
      </c>
      <c r="BG19" s="915">
        <f>IF(ISNUMBER(Datos!K19/Datos!J19),Datos!K19/Datos!J19," - ")</f>
        <v>1.0573750896485776</v>
      </c>
      <c r="BH19" s="915">
        <f>IF(ISNUMBER(((Datos!L19/Datos!K19)*11)/factor_trimestre),((Datos!L19/Datos!K19)*11)/factor_trimestre," - ")</f>
        <v>4.0520009043635543</v>
      </c>
      <c r="BI19" s="813">
        <f>IF(ISNUMBER(Datos!J19/Datos!I19),Datos!J19/Datos!I19," - ")</f>
        <v>0.67773817239144518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-1.0204813108038915</v>
      </c>
      <c r="BM19" s="889">
        <f>IF(ISNUMBER((Datos!P19-Datos!Q19+R19)/(Datos!R19-Datos!P19+Datos!Q19-R19)),(Datos!P19-Datos!Q19+R19)/(Datos!R19-Datos!P19+Datos!Q19-R19)," - ")</f>
        <v>4.0076640587577837E-2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1090.614658499203</v>
      </c>
      <c r="G21" s="552">
        <f>IF(ISNUMBER(STDEV(G8:G18)),STDEV(G8:G18),"-")</f>
        <v>1032.5508219937651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1012.9704832817193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425.91767592654179</v>
      </c>
      <c r="BD21" s="551"/>
      <c r="BE21" s="551">
        <f>IF(ISNUMBER(STDEV(BE8:BE18)),STDEV(BE8:BE18),"-")</f>
        <v>0</v>
      </c>
      <c r="BF21" s="556">
        <f>IF(ISNUMBER(STDEV(BF8:BF18)),STDEV(BF8:BF18),"-")</f>
        <v>0</v>
      </c>
      <c r="BG21" s="775">
        <f>IF(ISNUMBER(STDEV(BG8:BG18)),STDEV(BG8:BG18),"-")</f>
        <v>8.5352656219082002E-2</v>
      </c>
      <c r="BH21" s="776">
        <f>IF(ISNUMBER(STDEV(BH8:BH18)),STDEV(BH8:BH18),"-")</f>
        <v>1.8262953535438065</v>
      </c>
      <c r="BI21" s="249">
        <f>IF(ISNUMBER(STDEV(BI8:BI18)),STDEV(BI8:BI18),"-")</f>
        <v>0.1046944160210926</v>
      </c>
      <c r="BJ21" s="230" t="str">
        <f>IF(ISNUMBER(BL21/BM21),BL21/BM21," - ")</f>
        <v xml:space="preserve"> - </v>
      </c>
      <c r="BK21" s="575"/>
      <c r="BL21" s="559">
        <f>IF(ISNUMBER(STDEV(BL8:BL18)),STDEV(BL8:BL18),"-")</f>
        <v>0.44156214226652774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uzwYGqnsRTzEescJzaFxi54iV1RgqyGJYyVPECBQ4rJsw3A5mm4dwqRtKzaMhosLOJfQ0sGut0M528ZeRkzazg==" saltValue="iDc5XpJEiFtHwXl9jh6A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AVILES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0</v>
      </c>
      <c r="AA10" s="332">
        <f>IF(ISNUMBER(Datos!L10),Datos!L10,"-")</f>
        <v>31</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7</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7.1538461538461542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432</v>
      </c>
      <c r="AA12" s="332" t="str">
        <f>IF(ISNUMBER(IF(J_V="SI",Datos!L12,Datos!L12+Datos!AB12)-IF(Monitorios="SI",Datos!CD12,0)),
                          IF(J_V="SI",Datos!L12,Datos!L12+Datos!AB12)-IF(Monitorios="SI",Datos!CD12,0),
                          " - ")</f>
        <v xml:space="preserve"> - </v>
      </c>
      <c r="AB12" s="334"/>
      <c r="AC12" s="334"/>
      <c r="AD12" s="484"/>
      <c r="AE12" s="484">
        <f>IF(ISNUMBER(Datos!R12),Datos!R12," - ")</f>
        <v>6142</v>
      </c>
      <c r="AF12" s="229" t="str">
        <f>IF(ISNUMBER(Datos!BV12),Datos!BV12," - ")</f>
        <v xml:space="preserve"> - </v>
      </c>
      <c r="AG12" s="225" t="str">
        <f>IF(ISNUMBER(Datos!DV12),Datos!DV12," - ")</f>
        <v xml:space="preserve"> - </v>
      </c>
      <c r="AH12" s="298"/>
      <c r="AI12" s="227"/>
      <c r="AJ12" s="225">
        <f>IF(ISNUMBER(Datos!M12),Datos!M12," - ")</f>
        <v>918</v>
      </c>
      <c r="AK12" s="229">
        <f>IF(ISNUMBER(Datos!N12),Datos!N12," - ")</f>
        <v>901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4.6313261913557451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4.1546549092759032E-2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679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432</v>
      </c>
      <c r="AA13" s="900">
        <f t="shared" si="2"/>
        <v>31</v>
      </c>
      <c r="AB13" s="900">
        <f t="shared" si="2"/>
        <v>0</v>
      </c>
      <c r="AC13" s="900">
        <f t="shared" si="2"/>
        <v>0</v>
      </c>
      <c r="AD13" s="900">
        <f t="shared" si="2"/>
        <v>0</v>
      </c>
      <c r="AE13" s="900">
        <f t="shared" si="2"/>
        <v>6154</v>
      </c>
      <c r="AF13" s="908">
        <f t="shared" si="2"/>
        <v>0</v>
      </c>
      <c r="AG13" s="908">
        <f t="shared" si="2"/>
        <v>0</v>
      </c>
      <c r="AH13" s="908">
        <f t="shared" si="2"/>
        <v>0</v>
      </c>
      <c r="AI13" s="908">
        <f t="shared" si="2"/>
        <v>0</v>
      </c>
      <c r="AJ13" s="908">
        <f t="shared" si="2"/>
        <v>925</v>
      </c>
      <c r="AK13" s="908">
        <f t="shared" si="2"/>
        <v>903</v>
      </c>
      <c r="AL13" s="908">
        <f t="shared" si="2"/>
        <v>0</v>
      </c>
      <c r="AM13" s="908">
        <f t="shared" si="2"/>
        <v>0</v>
      </c>
      <c r="AN13" s="908">
        <f t="shared" si="2"/>
        <v>0</v>
      </c>
      <c r="AO13" s="904">
        <f>IF(ISNUMBER(((NºAsuntos!I13/NºAsuntos!G13)*11)/factor_trimestre),((NºAsuntos!I13/NºAsuntos!G13)*11)/factor_trimestre," - ")</f>
        <v>4.6433823529411766</v>
      </c>
      <c r="AP13" s="910" t="str">
        <f>IF(ISNUMBER(Datos!CI13/Datos!CJ13),Datos!CI13/Datos!CJ13," - ")</f>
        <v xml:space="preserve"> - </v>
      </c>
      <c r="AQ13" s="928">
        <f t="shared" ref="AQ13:AV13" si="3">SUBTOTAL(9,AQ9:AQ12)</f>
        <v>0</v>
      </c>
      <c r="AR13" s="928">
        <f t="shared" si="3"/>
        <v>0.24154654909275905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1921</v>
      </c>
      <c r="G16" s="225">
        <f>IF(ISNUMBER(IF(D_I="SI",Datos!I16,Datos!I16+Datos!AC16)),IF(D_I="SI",Datos!I16,Datos!I16+Datos!AC16)," - ")</f>
        <v>1882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1827</v>
      </c>
      <c r="Z16" s="619">
        <f>IF(ISNUMBER(Datos!Q16),Datos!Q16," - ")</f>
        <v>61</v>
      </c>
      <c r="AA16" s="332">
        <f>IF(ISNUMBER(IF(D_I="SI",Datos!L16,Datos!L16+Datos!AF16)),IF(D_I="SI",Datos!L16,Datos!L16+Datos!AF16)," - ")</f>
        <v>1915</v>
      </c>
      <c r="AB16" s="334"/>
      <c r="AC16" s="334"/>
      <c r="AD16" s="484"/>
      <c r="AE16" s="484">
        <f>IF(ISNUMBER(Datos!R16),Datos!R16," - ")</f>
        <v>348</v>
      </c>
      <c r="AF16" s="229" t="str">
        <f>IF(ISNUMBER(Datos!BV16),Datos!BV16," - ")</f>
        <v xml:space="preserve"> - </v>
      </c>
      <c r="AG16" s="225"/>
      <c r="AH16" s="298"/>
      <c r="AI16" s="227"/>
      <c r="AJ16" s="225">
        <f>IF(ISNUMBER(Datos!M16),Datos!M16," - ")</f>
        <v>206</v>
      </c>
      <c r="AK16" s="229">
        <f>IF(ISNUMBER(Datos!N16),Datos!N16," - ")</f>
        <v>1057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3.1444991789819383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153</v>
      </c>
      <c r="Z17" s="619">
        <f>IF(ISNUMBER(Datos!Q17),Datos!Q17," - ")</f>
        <v>5</v>
      </c>
      <c r="AA17" s="332">
        <f>IF(ISNUMBER(Datos!L17),Datos!L17,"-")</f>
        <v>101</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22</v>
      </c>
      <c r="AK17" s="229">
        <f>IF(ISNUMBER(Datos!N17),Datos!N17," - ")</f>
        <v>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1.9803921568627452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1921</v>
      </c>
      <c r="G18" s="898">
        <f>SUBTOTAL(9,G15:G17)</f>
        <v>2010</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1980</v>
      </c>
      <c r="Z18" s="932">
        <f t="shared" si="5"/>
        <v>66</v>
      </c>
      <c r="AA18" s="932">
        <f t="shared" si="5"/>
        <v>2016</v>
      </c>
      <c r="AB18" s="932">
        <f t="shared" si="5"/>
        <v>0</v>
      </c>
      <c r="AC18" s="932">
        <f t="shared" si="5"/>
        <v>0</v>
      </c>
      <c r="AD18" s="932">
        <f t="shared" si="5"/>
        <v>0</v>
      </c>
      <c r="AE18" s="932">
        <f t="shared" si="5"/>
        <v>360</v>
      </c>
      <c r="AF18" s="932">
        <f t="shared" si="5"/>
        <v>0</v>
      </c>
      <c r="AG18" s="932">
        <f t="shared" si="5"/>
        <v>0</v>
      </c>
      <c r="AH18" s="932">
        <f t="shared" si="5"/>
        <v>0</v>
      </c>
      <c r="AI18" s="932">
        <f t="shared" si="5"/>
        <v>0</v>
      </c>
      <c r="AJ18" s="932">
        <f t="shared" si="5"/>
        <v>228</v>
      </c>
      <c r="AK18" s="932">
        <f t="shared" si="5"/>
        <v>1110</v>
      </c>
      <c r="AL18" s="932">
        <f t="shared" si="5"/>
        <v>0</v>
      </c>
      <c r="AM18" s="932">
        <f t="shared" si="5"/>
        <v>0</v>
      </c>
      <c r="AN18" s="932">
        <f t="shared" si="5"/>
        <v>0</v>
      </c>
      <c r="AO18" s="934">
        <f>IF(ISNUMBER(((NºAsuntos!I18/NºAsuntos!G18)*11)/factor_trimestre),((NºAsuntos!I18/NºAsuntos!G18)*11)/factor_trimestre," - ")</f>
        <v>3.0545454545454547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1953</v>
      </c>
      <c r="G19" s="820">
        <f t="shared" si="7"/>
        <v>2042</v>
      </c>
      <c r="H19" s="821">
        <f t="shared" si="7"/>
        <v>0</v>
      </c>
      <c r="I19" s="820">
        <f t="shared" si="7"/>
        <v>0</v>
      </c>
      <c r="J19" s="822">
        <f t="shared" si="7"/>
        <v>0</v>
      </c>
      <c r="K19" s="820">
        <f t="shared" si="7"/>
        <v>0</v>
      </c>
      <c r="L19" s="823">
        <f t="shared" si="7"/>
        <v>0</v>
      </c>
      <c r="M19" s="820">
        <f t="shared" si="7"/>
        <v>0</v>
      </c>
      <c r="N19" s="821">
        <f t="shared" si="7"/>
        <v>749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1993</v>
      </c>
      <c r="Z19" s="827">
        <f t="shared" si="8"/>
        <v>498</v>
      </c>
      <c r="AA19" s="828">
        <f t="shared" si="8"/>
        <v>2047</v>
      </c>
      <c r="AB19" s="828">
        <f t="shared" si="8"/>
        <v>0</v>
      </c>
      <c r="AC19" s="828">
        <f t="shared" si="8"/>
        <v>0</v>
      </c>
      <c r="AD19" s="829">
        <f t="shared" si="8"/>
        <v>0</v>
      </c>
      <c r="AE19" s="829">
        <f t="shared" si="8"/>
        <v>6514</v>
      </c>
      <c r="AF19" s="830">
        <f t="shared" si="8"/>
        <v>0</v>
      </c>
      <c r="AG19" s="831">
        <f t="shared" si="8"/>
        <v>0</v>
      </c>
      <c r="AH19" s="832">
        <f t="shared" si="8"/>
        <v>0</v>
      </c>
      <c r="AI19" s="830">
        <f t="shared" si="8"/>
        <v>0</v>
      </c>
      <c r="AJ19" s="820">
        <f t="shared" si="8"/>
        <v>1153</v>
      </c>
      <c r="AK19" s="820">
        <f t="shared" si="8"/>
        <v>2013</v>
      </c>
      <c r="AL19" s="820">
        <f t="shared" si="8"/>
        <v>0</v>
      </c>
      <c r="AM19" s="833">
        <f t="shared" si="8"/>
        <v>0</v>
      </c>
      <c r="AN19" s="823">
        <f>IF(ISNUMBER(Datos!K19/Datos!J19),Datos!K19/Datos!J19," - ")</f>
        <v>1.0573750896485776</v>
      </c>
      <c r="AO19" s="823">
        <f>IF(ISNUMBER(FIND("06",Criterios!A8,1)),(IF(ISNUMBER(((Datos!R19/Datos!Q19)*11)/factor_trimestre),((Datos!R19/Datos!Q19)*11)/factor_trimestre," - ")),(IF(ISNUMBER(((Datos!L19/Datos!K19)*11)/factor_trimestre),((Datos!L19/Datos!K19)*11)/factor_trimestre," - ")))</f>
        <v>4.0520009043635543</v>
      </c>
      <c r="AP19" s="834" t="str">
        <f>IF(ISNUMBER(Datos!CI19/Datos!CJ19),Datos!CI19/Datos!CJ19," - ")</f>
        <v xml:space="preserve"> - </v>
      </c>
      <c r="AQ19" s="834">
        <f>IF(OR(ISNUMBER(FIND("01",Criterios!A8,1)),ISNUMBER(FIND("02",Criterios!A8,1)),ISNUMBER(FIND("03",Criterios!A8,1)),ISNUMBER(FIND("04",Criterios!A8,1))),(J19-Y19+K19)/(F19-K19),(I19-Y19+K19)/(F19-K19))</f>
        <v>-1.0204813108038915</v>
      </c>
      <c r="AR19" s="834">
        <f>IF(ISNUMBER((Datos!P19-Datos!Q19+O19)/(Datos!R19-Datos!P19+Datos!Q19-O19)),(Datos!P19-Datos!Q19+O19)/(Datos!R19-Datos!P19+Datos!Q19-O19)," - ")</f>
        <v>4.0076640587577837E-2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1090.614658499203</v>
      </c>
      <c r="G21" s="552">
        <f>IF(ISNUMBER(STDEV(G8:G18)),STDEV(G8:G18),"-")</f>
        <v>1032.5508219937651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425.91767592654179</v>
      </c>
      <c r="AK21" s="252"/>
      <c r="AL21" s="252">
        <f>IF(ISNUMBER(STDEV(AL8:AL18)),STDEV(AL8:AL18),"-")</f>
        <v>0</v>
      </c>
      <c r="AM21" s="254">
        <f>IF(ISNUMBER(STDEV(AM8:AM18)),STDEV(AM8:AM18),"-")</f>
        <v>0</v>
      </c>
      <c r="AN21" s="539">
        <f>IF(ISNUMBER(STDEV(AN8:AN18)),STDEV(AN8:AN18),"-")</f>
        <v>0</v>
      </c>
      <c r="AO21" s="540">
        <f>IF(ISNUMBER(STDEV(AO8:AO18)),STDEV(AO8:AO18),"-")</f>
        <v>1.8112002663844025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30n7wHATDZ7XyN5jozJ6hn29IL7OtdDyWiCjyCSzbdSbkKFnFog3JBgjaFPIU4fPXujwJs7DsBA6jGflQMO/g==" saltValue="etHALITvwVqpkpTv9KQ6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MjzgNbxzjdJokj5Fa/RFgeOItdfgoLQSBzOubB8PKpTbNPiHYQnGID1DZWmzUnHIkwas0CcCYZQJyxvWkr/Dg==" saltValue="2teACBRhliFR4gW6Dcgv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r1okbFroQ2lvAfjB0pM4/U4dvllEenAf+s+FQHF66IeYceTsOaH40w8pCJtNzpdWJHsqJ5orggYnTb0goghFg==" saltValue="utotB+HohYUWwXHyB4S24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0.34007352941176472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0.24046829874910164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5NE2Pm9Fk1YXoJ4wYLQ4OAIIpiYk0T082urptKB5mmDpRPVKQIPWmh6z5dbjWiPlU+ozH/TnfQcmw7k6hIRNAg==" saltValue="mvSepazrVHdz99MqV2kP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YDMldEv3y8zW87RcY0W4MCLYGnyNxn5wfieNECpPTOVQ6J7aUH5xhk95MWqG0uFps461Ob/gd0dQW4IHk2zCQ==" saltValue="uTuu6XnSOP9u3AqbhLhl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AVILES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12</v>
      </c>
      <c r="F10" s="404">
        <f>IF(ISNUMBER(E10/B10),E10/B10," - ")</f>
        <v>12</v>
      </c>
      <c r="G10" s="403">
        <f>IF(ISNUMBER(Datos!K10),Datos!K10," - ")</f>
        <v>13</v>
      </c>
      <c r="H10" s="404">
        <f>IF(ISNUMBER(G10/B10),G10/B10," - ")</f>
        <v>13</v>
      </c>
      <c r="I10" s="403">
        <f>IF(ISNUMBER(Datos!L10),Datos!L10," - ")</f>
        <v>31</v>
      </c>
      <c r="J10" s="404">
        <f>IF(ISNUMBER(I10/B10),I10/B10," - ")</f>
        <v>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4421</v>
      </c>
      <c r="D12" s="404">
        <f>IF(ISNUMBER(C12/Datos!BH12),C12/Datos!BH12," - ")</f>
        <v>552.625</v>
      </c>
      <c r="E12" s="403">
        <f>IF(ISNUMBER(IF(J_V="SI",Datos!J12,Datos!J12+Datos!Z12)),IF(J_V="SI",Datos!J12,Datos!J12+Datos!Z12)," - ")</f>
        <v>2465</v>
      </c>
      <c r="F12" s="404">
        <f>IF(ISNUMBER(E12/B12),E12/B12," - ")</f>
        <v>308.125</v>
      </c>
      <c r="G12" s="403">
        <f>IF(ISNUMBER(IF(J_V="SI",Datos!K12,Datos!K12+Datos!AA12)),IF(J_V="SI",Datos!K12,Datos!K12+Datos!AA12)," - ")</f>
        <v>2707</v>
      </c>
      <c r="H12" s="404">
        <f>IF(ISNUMBER(G12/B12),G12/B12," - ")</f>
        <v>338.375</v>
      </c>
      <c r="I12" s="403">
        <f>IF(ISNUMBER(IF(J_V="SI",Datos!L12,Datos!L12+Datos!AB12)),IF(J_V="SI",Datos!L12,Datos!L12+Datos!AB12)," - ")</f>
        <v>4179</v>
      </c>
      <c r="J12" s="404">
        <f>IF(ISNUMBER(I12/B12),I12/B12," - ")</f>
        <v>522.375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4453</v>
      </c>
      <c r="D13" s="850" t="str">
        <f>IF(ISNUMBER(C13/Datos!BI13),C13/Datos!BI13," - ")</f>
        <v xml:space="preserve"> - </v>
      </c>
      <c r="E13" s="849">
        <f>SUBTOTAL(9,E8:E12)</f>
        <v>2477</v>
      </c>
      <c r="F13" s="850">
        <f>IF(ISNUMBER(E13/B13),E13/B13," - ")</f>
        <v>309.625</v>
      </c>
      <c r="G13" s="849">
        <f>SUBTOTAL(9,G8:G12)</f>
        <v>2720</v>
      </c>
      <c r="H13" s="850">
        <f>IF(ISNUMBER(G13/B13),G13/B13," - ")</f>
        <v>340</v>
      </c>
      <c r="I13" s="849">
        <f>SUBTOTAL(9,I8:I12)</f>
        <v>4210</v>
      </c>
      <c r="J13" s="850">
        <f>IF(ISNUMBER(I13/B13),I13/B13," - ")</f>
        <v>526.25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1882</v>
      </c>
      <c r="D16" s="404">
        <f>IF(ISNUMBER(C16/Datos!BH16),C16/Datos!BH16," - ")</f>
        <v>235.25</v>
      </c>
      <c r="E16" s="403">
        <f>IF(ISNUMBER(IF(D_I="SI",Datos!J16,Datos!J16+Datos!AD16)),IF(D_I="SI",Datos!J16,Datos!J16+Datos!AD16)," - ")</f>
        <v>1821</v>
      </c>
      <c r="F16" s="404">
        <f>IF(ISNUMBER(E16/B16),E16/B16," - ")</f>
        <v>227.625</v>
      </c>
      <c r="G16" s="403">
        <f>IF(ISNUMBER(IF(D_I="SI",Datos!K16,Datos!K16+Datos!AE16)),IF(D_I="SI",Datos!K16,Datos!K16+Datos!AE16)," - ")</f>
        <v>1827</v>
      </c>
      <c r="H16" s="404">
        <f>IF(ISNUMBER(G16/B16),G16/B16," - ")</f>
        <v>228.375</v>
      </c>
      <c r="I16" s="403">
        <f>IF(ISNUMBER(IF(D_I="SI",Datos!L16,Datos!L16+Datos!AF16)),IF(D_I="SI",Datos!L16,Datos!L16+Datos!AF16)," - ")</f>
        <v>1915</v>
      </c>
      <c r="J16" s="404">
        <f>IF(ISNUMBER(I16/B16),I16/B16," - ")</f>
        <v>239.375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128</v>
      </c>
      <c r="D17" s="404">
        <f>IF(ISNUMBER(C17/Datos!BH17),C17/Datos!BH17," - ")</f>
        <v>128</v>
      </c>
      <c r="E17" s="403">
        <f>IF(ISNUMBER(IF(D_I="SI",Datos!J17,Datos!J17+Datos!AD17)),IF(D_I="SI",Datos!J17,Datos!J17+Datos!AD17)," - ")</f>
        <v>123</v>
      </c>
      <c r="F17" s="404">
        <f>IF(ISNUMBER(E17/B17),E17/B17," - ")</f>
        <v>123</v>
      </c>
      <c r="G17" s="403">
        <f>IF(ISNUMBER(IF(D_I="SI",Datos!K17,Datos!K17+Datos!AE17)),IF(D_I="SI",Datos!K17,Datos!K17+Datos!AE17)," - ")</f>
        <v>153</v>
      </c>
      <c r="H17" s="404">
        <f>IF(ISNUMBER(G17/B17),G17/B17," - ")</f>
        <v>153</v>
      </c>
      <c r="I17" s="403">
        <f>IF(ISNUMBER(IF(D_I="SI",Datos!L17,Datos!L17+Datos!AF17)),IF(D_I="SI",Datos!L17,Datos!L17+Datos!AF17)," - ")</f>
        <v>101</v>
      </c>
      <c r="J17" s="404">
        <f>IF(ISNUMBER(I17/B17),I17/B17," - ")</f>
        <v>101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2010</v>
      </c>
      <c r="D18" s="850" t="str">
        <f>IF(ISNUMBER(C18/Datos!BI18),C18/Datos!BI18," - ")</f>
        <v xml:space="preserve"> - </v>
      </c>
      <c r="E18" s="849">
        <f>SUBTOTAL(9,E14:E17)</f>
        <v>1944</v>
      </c>
      <c r="F18" s="850">
        <f>IF(ISNUMBER(E18/B18),E18/B18," - ")</f>
        <v>243</v>
      </c>
      <c r="G18" s="849">
        <f>SUBTOTAL(9,G14:G17)</f>
        <v>1980</v>
      </c>
      <c r="H18" s="850">
        <f>IF(ISNUMBER(G18/B18),G18/B18," - ")</f>
        <v>247.5</v>
      </c>
      <c r="I18" s="849">
        <f>SUBTOTAL(9,I14:I17)</f>
        <v>2016</v>
      </c>
      <c r="J18" s="850">
        <f>IF(ISNUMBER(I18/B18),I18/B18," - ")</f>
        <v>252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6463</v>
      </c>
      <c r="D19" s="795" t="str">
        <f>IF(ISNUMBER(C19/Datos!BI19),C19/Datos!BI19," - ")</f>
        <v xml:space="preserve"> - </v>
      </c>
      <c r="E19" s="794">
        <f>SUBTOTAL(9,E9:E18)</f>
        <v>4421</v>
      </c>
      <c r="F19" s="795">
        <f>IF(ISNUMBER(E19/B19),E19/B19," - ")</f>
        <v>552.625</v>
      </c>
      <c r="G19" s="794">
        <f>SUBTOTAL(9,G9:G18)</f>
        <v>4700</v>
      </c>
      <c r="H19" s="795">
        <f>IF(ISNUMBER(G19/B19),G19/B19," - ")</f>
        <v>587.5</v>
      </c>
      <c r="I19" s="794">
        <f>SUBTOTAL(9,I9:I18)</f>
        <v>6226</v>
      </c>
      <c r="J19" s="795">
        <f>IF(ISNUMBER(I19/B19),I19/B19," - ")</f>
        <v>778.25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0py4lSmLnop1FjzWM9vxDW+DgXQsqfhoEeoBMAcVskLt18I22AAxhva8Mk8PqQScYBeOAOwewt8v3xkIvalAQ==" saltValue="NEbU4BghUvCmPB6ODsS0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AVILES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7.1538461538461542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918</v>
      </c>
      <c r="AM12" s="690">
        <f>IF(ISNUMBER(Datos!N12+DatosP!N16),Datos!N12+DatosP!N16," - ")</f>
        <v>901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4.6313261913557451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4.1546549092759032E-2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679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432</v>
      </c>
      <c r="AE13" s="939">
        <f t="shared" si="1"/>
        <v>0</v>
      </c>
      <c r="AF13" s="939">
        <f t="shared" si="1"/>
        <v>31</v>
      </c>
      <c r="AG13" s="939">
        <f t="shared" si="1"/>
        <v>0</v>
      </c>
      <c r="AH13" s="939">
        <f t="shared" si="1"/>
        <v>6142</v>
      </c>
      <c r="AI13" s="939">
        <f t="shared" si="1"/>
        <v>0</v>
      </c>
      <c r="AJ13" s="939">
        <f t="shared" si="1"/>
        <v>0</v>
      </c>
      <c r="AK13" s="939">
        <f t="shared" si="1"/>
        <v>0</v>
      </c>
      <c r="AL13" s="939">
        <f t="shared" si="1"/>
        <v>925</v>
      </c>
      <c r="AM13" s="939">
        <f t="shared" si="1"/>
        <v>903</v>
      </c>
      <c r="AN13" s="939">
        <f t="shared" si="1"/>
        <v>0</v>
      </c>
      <c r="AO13" s="939">
        <f t="shared" si="1"/>
        <v>0</v>
      </c>
      <c r="AP13" s="944">
        <f>IF(ISNUMBER(((Datos!L13/Datos!K13)*11)/factor_trimestre),((Datos!L13/Datos!K13)*11)/factor_trimestre," - ")</f>
        <v>4.8604175194433079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-0.40625</v>
      </c>
      <c r="AU13" s="939" t="str">
        <f>IF(ISNUMBER((DatosP!#REF!-DatosP!#REF!+DatosP!#REF!)/(DatosP!#REF!+DatosP!#REF!-DatosP!#REF!-DatosP!#REF!)),(DatosP!#REF!-DatosP!#REF!+DatosP!#REF!)/(DatosP!#REF!+DatosP!#REF!-DatosP!#REF!-DatosP!#REF!)," - ")</f>
        <v xml:space="preserve"> - </v>
      </c>
      <c r="AV13" s="945">
        <f>SUBTOTAL(9,AV9:AV12)</f>
        <v>4.1546549092759032E-2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3.0545454545454547</v>
      </c>
      <c r="AQ18" s="944">
        <f>IF(ISNUMBER(((Datos!M18/Datos!L18)*11)/factor_trimestre),((Datos!M18/Datos!L18)*11)/factor_trimestre," - ")</f>
        <v>0.3392857142857143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1.1235955056179775E-2</v>
      </c>
      <c r="AW18" s="946">
        <f>IF(ISNUMBER((Datos!Q18-Datos!R18)/(Datos!S18-Datos!Q18+Datos!R18)),(Datos!Q18-Datos!R18)/(Datos!S18-Datos!Q18+Datos!R18)," - ")</f>
        <v>-0.13789868667917449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679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432</v>
      </c>
      <c r="AE19" s="957">
        <f t="shared" si="5"/>
        <v>0</v>
      </c>
      <c r="AF19" s="958">
        <f t="shared" si="5"/>
        <v>31</v>
      </c>
      <c r="AG19" s="958">
        <f t="shared" si="5"/>
        <v>0</v>
      </c>
      <c r="AH19" s="958">
        <f t="shared" si="5"/>
        <v>6142</v>
      </c>
      <c r="AI19" s="958">
        <f t="shared" si="5"/>
        <v>0</v>
      </c>
      <c r="AJ19" s="959">
        <f t="shared" si="5"/>
        <v>0</v>
      </c>
      <c r="AK19" s="959">
        <f t="shared" si="5"/>
        <v>0</v>
      </c>
      <c r="AL19" s="951">
        <f t="shared" si="5"/>
        <v>925</v>
      </c>
      <c r="AM19" s="951">
        <f t="shared" si="5"/>
        <v>903</v>
      </c>
      <c r="AN19" s="951">
        <f t="shared" si="5"/>
        <v>0</v>
      </c>
      <c r="AO19" s="951">
        <f t="shared" si="5"/>
        <v>0</v>
      </c>
      <c r="AP19" s="951">
        <f>IF(ISNUMBER(((Datos!L19/Datos!K19)*11)/factor_trimestre),((Datos!L19/Datos!K19)*11)/factor_trimestre," - ")</f>
        <v>4.0520009043635543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4.0076640587577837E-2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530.02295547771632</v>
      </c>
      <c r="AM21" s="736"/>
      <c r="AN21" s="736">
        <f>IF(ISNUMBER(STDEV(AN8:AN18)),STDEV(AN8:AN18),"-")</f>
        <v>0</v>
      </c>
      <c r="AO21" s="742">
        <f>IF(ISNUMBER(STDEV(AO8:AO18)),STDEV(AO8:AO18),"-")</f>
        <v>0</v>
      </c>
      <c r="AP21" s="779">
        <f>IF(ISNUMBER(STDEV(AP8:AP18)),STDEV(AP8:AP18),"-")</f>
        <v>1.6888625938016195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cOjLO4V7j3OMwG5J52xA7vB+2MS+m70I8LUEaPpiBZh/zxmvvABHFHZNQ4OneS6a1gAeadY19DFrOEXicHl7Q==" saltValue="4axEnl2zZUWPUX2RtMxl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AVILES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MCMmQCYhsgw04vK1Mx2gKZON++hYM1YwQuUCeK6hHj+DlfnQwJiHeANWKWADdKwoMjx/yX3clX3+3zExgtK8Q==" saltValue="kXmNlHByDa1ACnWQx0wM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AVILES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918</v>
      </c>
      <c r="E12" s="404">
        <f t="shared" si="0"/>
        <v>114.75</v>
      </c>
      <c r="F12" s="403">
        <f>IF(ISNUMBER(Datos!N12),Datos!N12," - ")</f>
        <v>901</v>
      </c>
      <c r="G12" s="404">
        <f t="shared" si="1"/>
        <v>112.625</v>
      </c>
      <c r="H12" s="403">
        <f>IF(ISNUMBER(Datos!O12),Datos!O12," - ")</f>
        <v>1169</v>
      </c>
      <c r="I12" s="404">
        <f t="shared" si="2"/>
        <v>146.125</v>
      </c>
      <c r="BZ12" s="1186">
        <f>Datos!EZ12</f>
        <v>0</v>
      </c>
    </row>
    <row r="13" spans="1:78" ht="14.25" thickTop="1" thickBot="1">
      <c r="A13" s="848" t="str">
        <f>Datos!A13</f>
        <v>TOTAL</v>
      </c>
      <c r="B13" s="849">
        <f>Datos!AP13</f>
        <v>8</v>
      </c>
      <c r="C13" s="851">
        <f>Datos!AR13</f>
        <v>8</v>
      </c>
      <c r="D13" s="849">
        <f>SUBTOTAL(9,D9:D12)</f>
        <v>925</v>
      </c>
      <c r="E13" s="850">
        <f t="shared" si="0"/>
        <v>115.625</v>
      </c>
      <c r="F13" s="849">
        <f>SUBTOTAL(9,F9:F12)</f>
        <v>903</v>
      </c>
      <c r="G13" s="850">
        <f t="shared" si="1"/>
        <v>112.875</v>
      </c>
      <c r="H13" s="849">
        <f>SUBTOTAL(9,H9:H12)</f>
        <v>1171</v>
      </c>
      <c r="I13" s="850">
        <f>IF(ISNUMBER(H13/B13),H13/B13," - ")</f>
        <v>146.375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206</v>
      </c>
      <c r="E16" s="404">
        <f t="shared" si="3"/>
        <v>25.75</v>
      </c>
      <c r="F16" s="403">
        <f>IF(ISNUMBER(Datos!N16),Datos!N16," - ")</f>
        <v>1057</v>
      </c>
      <c r="G16" s="404">
        <f t="shared" si="4"/>
        <v>132.125</v>
      </c>
      <c r="H16" s="403">
        <f>IF(ISNUMBER(Datos!O16),Datos!O16," - ")</f>
        <v>42</v>
      </c>
      <c r="I16" s="404">
        <f t="shared" si="5"/>
        <v>5.25</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53</v>
      </c>
      <c r="G17" s="404">
        <f>IF(ISNUMBER(F17/B17),F17/B17," - ")</f>
        <v>53</v>
      </c>
      <c r="H17" s="403">
        <f>IF(ISNUMBER(Datos!O17),Datos!O17," - ")</f>
        <v>5</v>
      </c>
      <c r="I17" s="404">
        <f t="shared" si="5"/>
        <v>5</v>
      </c>
      <c r="BZ17" s="1186">
        <f>Datos!EZ17</f>
        <v>0</v>
      </c>
    </row>
    <row r="18" spans="1:78" ht="14.25" thickTop="1" thickBot="1">
      <c r="A18" s="848" t="str">
        <f>Datos!A18</f>
        <v>TOTAL</v>
      </c>
      <c r="B18" s="849">
        <f>Datos!AP18</f>
        <v>8</v>
      </c>
      <c r="C18" s="851">
        <f>Datos!AR18</f>
        <v>8</v>
      </c>
      <c r="D18" s="849">
        <f>SUBTOTAL(9,D15:D17)</f>
        <v>228</v>
      </c>
      <c r="E18" s="850">
        <f t="shared" si="3"/>
        <v>28.5</v>
      </c>
      <c r="F18" s="849">
        <f>SUBTOTAL(9,F15:F17)</f>
        <v>1110</v>
      </c>
      <c r="G18" s="850">
        <f t="shared" si="4"/>
        <v>138.75</v>
      </c>
      <c r="H18" s="849">
        <f>SUBTOTAL(9,H15:H17)</f>
        <v>47</v>
      </c>
      <c r="I18" s="850">
        <f>IF(ISNUMBER(H18/B18),H18/B18," - ")</f>
        <v>5.875</v>
      </c>
      <c r="BZ18" s="1186"/>
    </row>
    <row r="19" spans="1:78" ht="14.25" thickTop="1" thickBot="1">
      <c r="A19" s="793" t="str">
        <f>Datos!A19</f>
        <v>TOTAL JURISDICCIONES</v>
      </c>
      <c r="B19" s="794">
        <f>Datos!AP19</f>
        <v>8</v>
      </c>
      <c r="C19" s="794">
        <f>Datos!AR19</f>
        <v>8</v>
      </c>
      <c r="D19" s="794">
        <f>SUBTOTAL(9,D8:D18)</f>
        <v>1153</v>
      </c>
      <c r="E19" s="795">
        <f>IF(ISNUMBER(D19/B19),D19/B19," - ")</f>
        <v>144.125</v>
      </c>
      <c r="F19" s="794">
        <f>SUBTOTAL(9,F8:F18)</f>
        <v>2013</v>
      </c>
      <c r="G19" s="795">
        <f>IF(ISNUMBER(F19/B19),F19/B19," - ")</f>
        <v>251.625</v>
      </c>
      <c r="H19" s="794">
        <f>SUBTOTAL(9,H8:H18)</f>
        <v>1218</v>
      </c>
      <c r="I19" s="795">
        <f>IF(ISNUMBER(H19/B19),H19/B19," - ")</f>
        <v>152.25</v>
      </c>
    </row>
    <row r="22" spans="1:78">
      <c r="A22" s="391" t="str">
        <f>Criterios!A4</f>
        <v>Fecha Informe: 27 feb. 2025</v>
      </c>
    </row>
    <row r="27" spans="1:78">
      <c r="A27" s="414"/>
    </row>
  </sheetData>
  <sheetProtection algorithmName="SHA-512" hashValue="H08PTIjxPTi3JOQOfNkHuuumnrG24mYyLQBuEZIN3Z0tQUVB4im478+VbseleFqmjQf2CCS0rwsEWy1DXE/img==" saltValue="OE1F33PSCstDsbXY9QiX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AVILES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677</v>
      </c>
      <c r="C12" s="434">
        <f>IF(ISNUMBER(Datos!Q12),Datos!Q12," - ")</f>
        <v>432</v>
      </c>
      <c r="D12" s="408">
        <f>IF(ISNUMBER(Datos!R12),Datos!R12," - ")</f>
        <v>6142</v>
      </c>
    </row>
    <row r="13" spans="1:4" ht="14.25" thickTop="1" thickBot="1">
      <c r="A13" s="848" t="str">
        <f>Datos!A13</f>
        <v>TOTAL</v>
      </c>
      <c r="B13" s="849">
        <f>SUBTOTAL(9,B9:B12)</f>
        <v>679</v>
      </c>
      <c r="C13" s="853">
        <f>SUBTOTAL(9,C9:C12)</f>
        <v>432</v>
      </c>
      <c r="D13" s="851">
        <f>SUBTOTAL(9,D9:D12)</f>
        <v>6154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67</v>
      </c>
      <c r="C16" s="434">
        <f>IF(ISNUMBER(Datos!Q16),Datos!Q16," - ")</f>
        <v>61</v>
      </c>
      <c r="D16" s="408">
        <f>IF(ISNUMBER(Datos!R16),Datos!R16," - ")</f>
        <v>348</v>
      </c>
    </row>
    <row r="17" spans="1:4" ht="13.5" thickBot="1">
      <c r="A17" s="402" t="str">
        <f>Datos!A17</f>
        <v>Jdos. Violencia contra la mujer</v>
      </c>
      <c r="B17" s="433">
        <f>IF(ISNUMBER(Datos!P17),Datos!P17," - ")</f>
        <v>3</v>
      </c>
      <c r="C17" s="434">
        <f>IF(ISNUMBER(Datos!Q17),Datos!Q17," - ")</f>
        <v>5</v>
      </c>
      <c r="D17" s="408">
        <f>IF(ISNUMBER(Datos!R17),Datos!R17," - ")</f>
        <v>12</v>
      </c>
    </row>
    <row r="18" spans="1:4" ht="14.25" thickTop="1" thickBot="1">
      <c r="A18" s="848" t="str">
        <f>Datos!A18</f>
        <v>TOTAL</v>
      </c>
      <c r="B18" s="849">
        <f>SUBTOTAL(9,B15:B17)</f>
        <v>70</v>
      </c>
      <c r="C18" s="853">
        <f>SUBTOTAL(9,C15:C17)</f>
        <v>66</v>
      </c>
      <c r="D18" s="851">
        <f>SUBTOTAL(9,D15:D17)</f>
        <v>360</v>
      </c>
    </row>
    <row r="19" spans="1:4" ht="16.5" customHeight="1" thickTop="1" thickBot="1">
      <c r="A19" s="793" t="str">
        <f>Datos!A19</f>
        <v>TOTAL JURISDICCIONES</v>
      </c>
      <c r="B19" s="798">
        <f>SUBTOTAL(9,B8:B18)</f>
        <v>749</v>
      </c>
      <c r="C19" s="799">
        <f>SUBTOTAL(9,C8:C18)</f>
        <v>498</v>
      </c>
      <c r="D19" s="800">
        <f>SUBTOTAL(9,D8:D18)</f>
        <v>6514</v>
      </c>
    </row>
    <row r="20" spans="1:4" ht="7.5" customHeight="1"/>
    <row r="21" spans="1:4" ht="6" customHeight="1"/>
    <row r="22" spans="1:4">
      <c r="A22" s="391" t="str">
        <f>Criterios!A4</f>
        <v>Fecha Informe: 27 feb. 2025</v>
      </c>
    </row>
    <row r="27" spans="1:4">
      <c r="A27" s="414"/>
    </row>
  </sheetData>
  <sheetProtection algorithmName="SHA-512" hashValue="V0HP45q2KMBagpkyKOVqdsNQwLPUxMIrlQX3cWWyEy5EP6vy2TmePYU3I+imR7MQeilY14P6ZnilpLkNwP+gbQ==" saltValue="1QGiP6Kmv+0bi5tT30us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AVILES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0.45454545454545453</v>
      </c>
      <c r="C10" s="456">
        <f>IF(ISNUMBER((Datos!J10-Datos!T10)/Datos!T10),(Datos!J10-Datos!T10)/Datos!T10," - ")</f>
        <v>-0.58620689655172409</v>
      </c>
      <c r="D10" s="456">
        <f>IF(ISNUMBER((Datos!K10-Datos!U10)/Datos!U10),(Datos!K10-Datos!U10)/Datos!U10," - ")</f>
        <v>-0.13333333333333333</v>
      </c>
      <c r="E10" s="456">
        <f>IF(ISNUMBER((Datos!L10-Datos!V10)/Datos!V10),(Datos!L10-Datos!V10)/Datos!V10," - ")</f>
        <v>0</v>
      </c>
      <c r="F10" s="456">
        <f>IF(ISNUMBER((Datos!M10-Datos!W10)/Datos!W10),(Datos!M10-Datos!W10)/Datos!W10," - ")</f>
        <v>0.4</v>
      </c>
      <c r="G10" s="457">
        <f>IF(ISNUMBER((Datos!N10-Datos!X10)/Datos!X10),(Datos!N10-Datos!X10)/Datos!X10," - ")</f>
        <v>-0.7142857142857143</v>
      </c>
      <c r="H10" s="455">
        <f>IF(ISNUMBER(((NºAsuntos!G10/NºAsuntos!E10)-Datos!BD10)/Datos!BD10),((NºAsuntos!G10/NºAsuntos!E10)-Datos!BD10)/Datos!BD10," - ")</f>
        <v>1.0944444444444441</v>
      </c>
      <c r="I10" s="456">
        <f>IF(ISNUMBER(((NºAsuntos!I10/NºAsuntos!G10)-Datos!BE10)/Datos!BE10),((NºAsuntos!I10/NºAsuntos!G10)-Datos!BE10)/Datos!BE10," - ")</f>
        <v>0.15384615384615372</v>
      </c>
      <c r="J10" s="461">
        <f>IF(ISNUMBER((('Resol  Asuntos'!D10/NºAsuntos!G10)-Datos!BF10)/Datos!BF10),(('Resol  Asuntos'!D10/NºAsuntos!G10)-Datos!BF10)/Datos!BF10," - ")</f>
        <v>0.61538461538461542</v>
      </c>
      <c r="K10" s="462">
        <f>IF(ISNUMBER((((NºAsuntos!C10+NºAsuntos!E10)/NºAsuntos!G10)-Datos!BG10)/Datos!BG10),(((NºAsuntos!C10+NºAsuntos!E10)/NºAsuntos!G10)-Datos!BG10)/Datos!BG10," - ")</f>
        <v>-4.5248868778280382E-3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8.1987273617229559E-2</v>
      </c>
      <c r="C12" s="456">
        <f>IF(ISNUMBER(
   IF(J_V="SI",(Datos!J12-Datos!T12)/Datos!T12,(Datos!J12+Datos!Z12-(Datos!T12+Datos!AH12))/(Datos!T12+Datos!AH12))
     ),IF(J_V="SI",(Datos!J12-Datos!T12)/Datos!T12,(Datos!J12+Datos!Z12-(Datos!T12+Datos!AH12))/(Datos!T12+Datos!AH12))," - ")</f>
        <v>5.3418803418803416E-2</v>
      </c>
      <c r="D12" s="456">
        <f>IF(ISNUMBER(
   IF(J_V="SI",(Datos!K12-Datos!U12)/Datos!U12,(Datos!K12+Datos!AA12-(Datos!U12+Datos!AI12))/(Datos!U12+Datos!AI12))
     ),IF(J_V="SI",(Datos!K12-Datos!U12)/Datos!U12,(Datos!K12+Datos!AA12-(Datos!U12+Datos!AI12))/(Datos!U12+Datos!AI12))," - ")</f>
        <v>0.13787305590584278</v>
      </c>
      <c r="E12" s="456">
        <f>IF(ISNUMBER(
   IF(J_V="SI",(Datos!L12-Datos!V12)/Datos!V12,(Datos!L12+Datos!AB12-(Datos!V12+Datos!AJ12))/(Datos!V12+Datos!AJ12))
     ),IF(J_V="SI",(Datos!L12-Datos!V12)/Datos!V12,(Datos!L12+Datos!AB12-(Datos!V12+Datos!AJ12))/(Datos!V12+Datos!AJ12))," - ")</f>
        <v>2.32615083251714E-2</v>
      </c>
      <c r="F12" s="456">
        <f>IF(ISNUMBER((Datos!M12-Datos!W12)/Datos!W12),(Datos!M12-Datos!W12)/Datos!W12," - ")</f>
        <v>0.21912350597609562</v>
      </c>
      <c r="G12" s="457">
        <f>IF(ISNUMBER((Datos!N12-Datos!X12)/Datos!X12),(Datos!N12-Datos!X12)/Datos!X12," - ")</f>
        <v>8.2932692307692304E-2</v>
      </c>
      <c r="H12" s="455">
        <f>IF(ISNUMBER(((NºAsuntos!G12/NºAsuntos!E12)-Datos!BD12)/Datos!BD12),((NºAsuntos!G12/NºAsuntos!E12)-Datos!BD12)/Datos!BD12," - ")</f>
        <v>8.0171582482625695E-2</v>
      </c>
      <c r="I12" s="456">
        <f>IF(ISNUMBER(((NºAsuntos!I12/NºAsuntos!G12)-Datos!BE12)/Datos!BE12),((NºAsuntos!I12/NºAsuntos!G12)-Datos!BE12)/Datos!BE12," - ")</f>
        <v>-0.10072437077739835</v>
      </c>
      <c r="J12" s="461">
        <f>IF(ISNUMBER((('Resol  Asuntos'!D12/NºAsuntos!G12)-Datos!BF12)/Datos!BF12),(('Resol  Asuntos'!D12/NºAsuntos!G12)-Datos!BF12)/Datos!BF12," - ")</f>
        <v>-3.0326468415219823E-2</v>
      </c>
      <c r="K12" s="462">
        <f>IF(ISNUMBER((((NºAsuntos!C12+NºAsuntos!E12)/NºAsuntos!G12)-Datos!BG12)/Datos!BG12),(((NºAsuntos!C12+NºAsuntos!E12)/NºAsuntos!G12)-Datos!BG12)/Datos!BG12," - ")</f>
        <v>-5.8256820767957476E-2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8.3982473222979553E-2</v>
      </c>
      <c r="C13" s="855">
        <f>IF(ISNUMBER(
   IF(J_V="SI",(Datos!J13-Datos!T13)/Datos!T13,(Datos!J13+Datos!Z13-(Datos!T13+Datos!AH13))/(Datos!T13+Datos!AH13))
     ),IF(J_V="SI",(Datos!J13-Datos!T13)/Datos!T13,(Datos!J13+Datos!Z13-(Datos!T13+Datos!AH13))/(Datos!T13+Datos!AH13))," - ")</f>
        <v>4.5588856057408186E-2</v>
      </c>
      <c r="D13" s="855">
        <f>IF(ISNUMBER(
   IF(J_V="SI",(Datos!K13-Datos!U13)/Datos!U13,(Datos!K13+Datos!AA13-(Datos!U13+Datos!AI13))/(Datos!U13+Datos!AI13))
     ),IF(J_V="SI",(Datos!K13-Datos!U13)/Datos!U13,(Datos!K13+Datos!AA13-(Datos!U13+Datos!AI13))/(Datos!U13+Datos!AI13))," - ")</f>
        <v>0.13617376775271511</v>
      </c>
      <c r="E13" s="855">
        <f>IF(ISNUMBER(
   IF(J_V="SI",(Datos!L13-Datos!V13)/Datos!V13,(Datos!L13+Datos!AB13-(Datos!V13+Datos!AJ13))/(Datos!V13+Datos!AJ13))
     ),IF(J_V="SI",(Datos!L13-Datos!V13)/Datos!V13,(Datos!L13+Datos!AB13-(Datos!V13+Datos!AJ13))/(Datos!V13+Datos!AJ13))," - ")</f>
        <v>2.3086269744835967E-2</v>
      </c>
      <c r="F13" s="856">
        <f>IF(ISNUMBER((Datos!M13-Datos!W13)/Datos!W13),(Datos!M13-Datos!W13)/Datos!W13," - ")</f>
        <v>0.22031662269129287</v>
      </c>
      <c r="G13" s="857">
        <f>IF(ISNUMBER((Datos!N13-Datos!X13)/Datos!X13),(Datos!N13-Datos!X13)/Datos!X13," - ")</f>
        <v>7.6281287246722285E-2</v>
      </c>
      <c r="H13" s="857">
        <f>IF(ISNUMBER(((NºAsuntos!G13/NºAsuntos!E13)-Datos!BD13)/Datos!BD13),((NºAsuntos!G13/NºAsuntos!E13)-Datos!BD13)/Datos!BD13," - ")</f>
        <v>8.6635307148236543E-2</v>
      </c>
      <c r="I13" s="857">
        <f>IF(ISNUMBER(((NºAsuntos!I13/NºAsuntos!G13)-Datos!BE13)/Datos!BE13),((NºAsuntos!I13/NºAsuntos!G13)-Datos!BE13)/Datos!BE13," - ")</f>
        <v>-9.9533628761346596E-2</v>
      </c>
      <c r="J13" s="857">
        <f>IF(ISNUMBER((('Resol  Asuntos'!D13/NºAsuntos!G13)-Datos!BF13)/Datos!BF13),(('Resol  Asuntos'!D13/NºAsuntos!G13)-Datos!BF13)/Datos!BF13," - ")</f>
        <v>-2.7316571790006312E-2</v>
      </c>
      <c r="K13" s="857">
        <f>IF(ISNUMBER((((NºAsuntos!C13+NºAsuntos!E13)/NºAsuntos!G13)-Datos!BG13)/Datos!BG13),(((NºAsuntos!C13+NºAsuntos!E13)/NºAsuntos!G13)-Datos!BG13)/Datos!BG13," - ")</f>
        <v>-5.8295643407895753E-2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7.6659038901601834E-2</v>
      </c>
      <c r="C16" s="456">
        <f>IF(ISNUMBER(
   IF(D_I="SI",(Datos!J16-Datos!T16)/Datos!T16,(Datos!J16+Datos!AD16-(Datos!T16+Datos!AL16))/(Datos!T16+Datos!AL16))
     ),IF(D_I="SI",(Datos!J16-Datos!T16)/Datos!T16,(Datos!J16+Datos!AD16-(Datos!T16+Datos!AL16))/(Datos!T16+Datos!AL16))," - ")</f>
        <v>6.9917743830787304E-2</v>
      </c>
      <c r="D16" s="456">
        <f>IF(ISNUMBER(
   IF(D_I="SI",(Datos!K16-Datos!U16)/Datos!U16,(Datos!K16+Datos!AE16-(Datos!U16+Datos!AM16))/(Datos!U16+Datos!AM16))
     ),IF(D_I="SI",(Datos!K16-Datos!U16)/Datos!U16,(Datos!K16+Datos!AE16-(Datos!U16+Datos!AM16))/(Datos!U16+Datos!AM16))," - ")</f>
        <v>2.1812080536912751E-2</v>
      </c>
      <c r="E16" s="456">
        <f>IF(ISNUMBER(
   IF(D_I="SI",(Datos!L16-Datos!V16)/Datos!V16,(Datos!L16+Datos!AF16-(Datos!V16+Datos!AN16))/(Datos!V16+Datos!AN16))
     ),IF(D_I="SI",(Datos!L16-Datos!V16)/Datos!V16,(Datos!L16+Datos!AF16-(Datos!V16+Datos!AN16))/(Datos!V16+Datos!AN16))," - ")</f>
        <v>0.10247553252734599</v>
      </c>
      <c r="F16" s="456">
        <f>IF(ISNUMBER((Datos!M16-Datos!W16)/Datos!W16),(Datos!M16-Datos!W16)/Datos!W16," - ")</f>
        <v>-0.16599190283400811</v>
      </c>
      <c r="G16" s="457">
        <f>IF(ISNUMBER((Datos!N16-Datos!X16)/Datos!X16),(Datos!N16-Datos!X16)/Datos!X16," - ")</f>
        <v>-7.1992976294995611E-2</v>
      </c>
      <c r="H16" s="455">
        <f>IF(ISNUMBER(((NºAsuntos!G16/NºAsuntos!E16)-Datos!BD16)/Datos!BD16),((NºAsuntos!G16/NºAsuntos!E16)-Datos!BD16)/Datos!BD16," - ")</f>
        <v>-4.4962020277965108E-2</v>
      </c>
      <c r="I16" s="456">
        <f>IF(ISNUMBER(((NºAsuntos!I16/NºAsuntos!G16)-Datos!BE16)/Datos!BE16),((NºAsuntos!I16/NºAsuntos!G16)-Datos!BE16)/Datos!BE16," - ")</f>
        <v>7.8941572062887128E-2</v>
      </c>
      <c r="J16" s="461">
        <f>IF(ISNUMBER((('Resol  Asuntos'!D16/NºAsuntos!G16)-Datos!BF16)/Datos!BF16),(('Resol  Asuntos'!D16/NºAsuntos!G16)-Datos!BF16)/Datos!BF16," - ")</f>
        <v>-0.18379503134494057</v>
      </c>
      <c r="K16" s="462">
        <f>IF(ISNUMBER((((NºAsuntos!C16+NºAsuntos!E16)/NºAsuntos!G16)-Datos!BG16)/Datos!BG16),(((NºAsuntos!C16+NºAsuntos!E16)/NºAsuntos!G16)-Datos!BG16)/Datos!BG16," - ")</f>
        <v>5.0421455938697179E-2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0.42222222222222222</v>
      </c>
      <c r="C17" s="456">
        <f>IF(ISNUMBER(
   IF(D_I="SI",(Datos!J17-Datos!T17)/Datos!T17,(Datos!J17+Datos!AD17-(Datos!T17+Datos!AL17))/(Datos!T17+Datos!AL17))
     ),IF(D_I="SI",(Datos!J17-Datos!T17)/Datos!T17,(Datos!J17+Datos!AD17-(Datos!T17+Datos!AL17))/(Datos!T17+Datos!AL17))," - ")</f>
        <v>-6.1068702290076333E-2</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-0.25735294117647056</v>
      </c>
      <c r="F17" s="456">
        <f>IF(ISNUMBER((Datos!M17-Datos!W17)/Datos!W17),(Datos!M17-Datos!W17)/Datos!W17," - ")</f>
        <v>0</v>
      </c>
      <c r="G17" s="457">
        <f>IF(ISNUMBER((Datos!N17-Datos!X17)/Datos!X17),(Datos!N17-Datos!X17)/Datos!X17," - ")</f>
        <v>0.1276595744680851</v>
      </c>
      <c r="H17" s="455">
        <f>IF(ISNUMBER(((NºAsuntos!G17/NºAsuntos!E17)-Datos!BD17)/Datos!BD17),((NºAsuntos!G17/NºAsuntos!E17)-Datos!BD17)/Datos!BD17," - ")</f>
        <v>6.5040650406504003E-2</v>
      </c>
      <c r="I17" s="456">
        <f>IF(ISNUMBER(((NºAsuntos!I17/NºAsuntos!G17)-Datos!BE17)/Datos!BE17),((NºAsuntos!I17/NºAsuntos!G17)-Datos!BE17)/Datos!BE17," - ")</f>
        <v>-0.25735294117647056</v>
      </c>
      <c r="J17" s="461">
        <f>IF(ISNUMBER((('Resol  Asuntos'!D17/NºAsuntos!G17)-Datos!BF17)/Datos!BF17),(('Resol  Asuntos'!D17/NºAsuntos!G17)-Datos!BF17)/Datos!BF17," - ")</f>
        <v>0</v>
      </c>
      <c r="K17" s="462">
        <f>IF(ISNUMBER((((NºAsuntos!C17+NºAsuntos!E17)/NºAsuntos!G17)-Datos!BG17)/Datos!BG17),(((NºAsuntos!C17+NºAsuntos!E17)/NºAsuntos!G17)-Datos!BG17)/Datos!BG17," - ")</f>
        <v>0.13574660633484162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9.3579978237214367E-2</v>
      </c>
      <c r="C18" s="855">
        <f>IF(ISNUMBER(
   IF(Criterios!B14="SI",(Datos!J18-Datos!T18)/Datos!T18,(Datos!J18+Datos!AD18-(Datos!T18+Datos!AL18))/(Datos!T18+Datos!AL18))
     ),IF(Criterios!B14="SI",(Datos!J18-Datos!T18)/Datos!T18,(Datos!J18+Datos!AD18-(Datos!T18+Datos!AL18))/(Datos!T18+Datos!AL18))," - ")</f>
        <v>6.0556464811783964E-2</v>
      </c>
      <c r="D18" s="855">
        <f>IF(ISNUMBER(
   IF(Criterios!B14="SI",(Datos!K18-Datos!U18)/Datos!U18,(Datos!K18+Datos!AE18-(Datos!U18+Datos!AM18))/(Datos!U18+Datos!AM18))
     ),IF(Criterios!B14="SI",(Datos!K18-Datos!U18)/Datos!U18,(Datos!K18+Datos!AE18-(Datos!U18+Datos!AM18))/(Datos!U18+Datos!AM18))," - ")</f>
        <v>2.009273570324575E-2</v>
      </c>
      <c r="E18" s="855">
        <f>IF(ISNUMBER(
   IF(Criterios!B14="SI",(Datos!L18-Datos!V18)/Datos!V18,(Datos!L18+Datos!AF18-(Datos!V18+Datos!AN18))/(Datos!V18+Datos!AN18))
     ),IF(Criterios!B14="SI",(Datos!L18-Datos!V18)/Datos!V18,(Datos!L18+Datos!AF18-(Datos!V18+Datos!AN18))/(Datos!V18+Datos!AN18))," - ")</f>
        <v>7.6348104644954617E-2</v>
      </c>
      <c r="F18" s="856">
        <f>IF(ISNUMBER((Datos!M18-Datos!W18)/Datos!W18),(Datos!M18-Datos!W18)/Datos!W18," - ")</f>
        <v>-0.15241635687732341</v>
      </c>
      <c r="G18" s="857">
        <f>IF(ISNUMBER((Datos!N18-Datos!X18)/Datos!X18),(Datos!N18-Datos!X18)/Datos!X18," - ")</f>
        <v>-6.4080944350758853E-2</v>
      </c>
      <c r="H18" s="857">
        <f>IF(ISNUMBER(((NºAsuntos!G18/NºAsuntos!E18)-Datos!BD18)/Datos!BD18),((NºAsuntos!G18/NºAsuntos!E18)-Datos!BD18)/Datos!BD18," - ")</f>
        <v>-3.815330013166169E-2</v>
      </c>
      <c r="I18" s="857">
        <f>IF(ISNUMBER(((NºAsuntos!I18/NºAsuntos!G18)-Datos!BE18)/Datos!BE18),((NºAsuntos!I18/NºAsuntos!G18)-Datos!BE18)/Datos!BE18," - ")</f>
        <v>5.514730864437211E-2</v>
      </c>
      <c r="J18" s="857">
        <f>IF(ISNUMBER((('Resol  Asuntos'!D18/NºAsuntos!G18)-Datos!BF18)/Datos!BF18),(('Resol  Asuntos'!D18/NºAsuntos!G18)-Datos!BF18)/Datos!BF18," - ")</f>
        <v>-0.16911118621155793</v>
      </c>
      <c r="K18" s="857">
        <f>IF(ISNUMBER((((NºAsuntos!C18+NºAsuntos!E18)/NºAsuntos!G18)-Datos!BG18)/Datos!BG18),(((NºAsuntos!C18+NºAsuntos!E18)/NºAsuntos!G18)-Datos!BG18)/Datos!BG18," - ")</f>
        <v>5.5875287882915292E-2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8.6949209552640433E-2</v>
      </c>
      <c r="C19" s="802">
        <f>IF(ISNUMBER(
   IF(J_V="SI",(Datos!J19-Datos!T19)/Datos!T19,(Datos!J19+Datos!Z19-(Datos!T19+Datos!AH19))/(Datos!T19+Datos!AH19))
     ),IF(J_V="SI",(Datos!J19-Datos!T19)/Datos!T19,(Datos!J19+Datos!Z19-(Datos!T19+Datos!AH19))/(Datos!T19+Datos!AH19))," - ")</f>
        <v>5.2118039029033794E-2</v>
      </c>
      <c r="D19" s="802">
        <f>IF(ISNUMBER(
   IF(J_V="SI",(Datos!K19-Datos!U19)/Datos!U19,(Datos!K19+Datos!AA19-(Datos!U19+Datos!AI19))/(Datos!U19+Datos!AI19))
     ),IF(J_V="SI",(Datos!K19-Datos!U19)/Datos!U19,(Datos!K19+Datos!AA19-(Datos!U19+Datos!AI19))/(Datos!U19+Datos!AI19))," - ")</f>
        <v>8.4198385236447515E-2</v>
      </c>
      <c r="E19" s="802">
        <f>IF(ISNUMBER(
   IF(J_V="SI",(Datos!L19-Datos!V19)/Datos!V19,(Datos!L19+Datos!AB19-(Datos!V19+Datos!AJ19))/(Datos!V19+Datos!AJ19))
     ),IF(J_V="SI",(Datos!L19-Datos!V19)/Datos!V19,(Datos!L19+Datos!AB19-(Datos!V19+Datos!AJ19))/(Datos!V19+Datos!AJ19))," - ")</f>
        <v>3.9746158984635939E-2</v>
      </c>
      <c r="F19" s="803">
        <f>IF(ISNUMBER((Datos!M19-Datos!W19)/Datos!W19),(Datos!M19-Datos!W19)/Datos!W19," - ")</f>
        <v>0.12268743914313535</v>
      </c>
      <c r="G19" s="804">
        <f>IF(ISNUMBER((Datos!N19-Datos!X19)/Datos!X19),(Datos!N19-Datos!X19)/Datos!X19," - ")</f>
        <v>-5.9259259259259256E-3</v>
      </c>
      <c r="H19" s="805">
        <f>IF(ISNUMBER((Tasas!B19-Datos!BD19)/Datos!BD19),(Tasas!B19-Datos!BD19)/Datos!BD19," - ")</f>
        <v>3.0491204425142023E-2</v>
      </c>
      <c r="I19" s="806">
        <f>IF(ISNUMBER((Tasas!C19-Datos!BE19)/Datos!BE19),(Tasas!C19-Datos!BE19)/Datos!BE19," - ")</f>
        <v>-4.1000085276936958E-2</v>
      </c>
      <c r="J19" s="807">
        <f>IF(ISNUMBER((Tasas!D19-Datos!BF19)/Datos!BF19),(Tasas!D19-Datos!BF19)/Datos!BF19," - ")</f>
        <v>-3.8464276095571563E-2</v>
      </c>
      <c r="K19" s="807">
        <f>IF(ISNUMBER((Tasas!E19-Datos!BG19)/Datos!BG19),(Tasas!E19-Datos!BG19)/Datos!BG19," - ")</f>
        <v>-1.0765353617524414E-2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w5aDQeaD/grF1KWGOy21F5zGqVYrqWohjkL5ZGhekHcTl6bB3jVjUtIUUQB/eEKRgDEpMBjdliQfyb4v8Fjzg==" saltValue="9mzrknR7KTbnImFYyvv9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AVILES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1.0833333333333333</v>
      </c>
      <c r="C10" s="443">
        <f>IF(ISNUMBER(NºAsuntos!I10/NºAsuntos!G10),NºAsuntos!I10/NºAsuntos!G10," - ")</f>
        <v>2.3846153846153846</v>
      </c>
      <c r="D10" s="444">
        <f>IF(ISNUMBER('Resol  Asuntos'!D10/NºAsuntos!G10),'Resol  Asuntos'!D10/NºAsuntos!G10," - ")</f>
        <v>0.53846153846153844</v>
      </c>
      <c r="E10" s="445">
        <f>IF(ISNUMBER((NºAsuntos!C10+NºAsuntos!E10)/NºAsuntos!G10),(NºAsuntos!C10+NºAsuntos!E10)/NºAsuntos!G10," - ")</f>
        <v>3.3846153846153846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1.0981744421906694</v>
      </c>
      <c r="C12" s="443">
        <f>IF(ISNUMBER(NºAsuntos!I12/NºAsuntos!G12),NºAsuntos!I12/NºAsuntos!G12," - ")</f>
        <v>1.5437753971185815</v>
      </c>
      <c r="D12" s="444">
        <f>IF(ISNUMBER('Resol  Asuntos'!D12/NºAsuntos!G12),'Resol  Asuntos'!D12/NºAsuntos!G12," - ")</f>
        <v>0.33912079793128924</v>
      </c>
      <c r="E12" s="445">
        <f>IF(ISNUMBER((NºAsuntos!C12+NºAsuntos!E12)/NºAsuntos!G12),(NºAsuntos!C12+NºAsuntos!E12)/NºAsuntos!G12," - ")</f>
        <v>2.5437753971185812</v>
      </c>
      <c r="G12" s="463"/>
    </row>
    <row r="13" spans="1:7" ht="14.25" thickTop="1" thickBot="1">
      <c r="A13" s="848" t="str">
        <f>Datos!A13</f>
        <v>TOTAL</v>
      </c>
      <c r="B13" s="858">
        <f>IF(ISNUMBER(NºAsuntos!G13/NºAsuntos!E13),NºAsuntos!G13/NºAsuntos!E13," - ")</f>
        <v>1.0981025433992733</v>
      </c>
      <c r="C13" s="859">
        <f>IF(ISNUMBER(NºAsuntos!I13/NºAsuntos!G13),NºAsuntos!I13/NºAsuntos!G13," - ")</f>
        <v>1.5477941176470589</v>
      </c>
      <c r="D13" s="860">
        <f>IF(ISNUMBER('Resol  Asuntos'!D13/NºAsuntos!G13),'Resol  Asuntos'!D13/NºAsuntos!G13," - ")</f>
        <v>0.34007352941176472</v>
      </c>
      <c r="E13" s="861">
        <f>IF(ISNUMBER((NºAsuntos!C13+NºAsuntos!E13)/NºAsuntos!G13),(NºAsuntos!C13+NºAsuntos!E13)/NºAsuntos!G13," - ")</f>
        <v>2.5477941176470589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1.0032948929159802</v>
      </c>
      <c r="C16" s="443">
        <f>IF(ISNUMBER(NºAsuntos!I16/NºAsuntos!G16),NºAsuntos!I16/NºAsuntos!G16," - ")</f>
        <v>1.0481663929939793</v>
      </c>
      <c r="D16" s="444">
        <f>IF(ISNUMBER('Resol  Asuntos'!D16/NºAsuntos!G16),'Resol  Asuntos'!D16/NºAsuntos!G16," - ")</f>
        <v>0.11275314723590586</v>
      </c>
      <c r="E16" s="445">
        <f>IF(ISNUMBER((NºAsuntos!C16+NºAsuntos!E16)/NºAsuntos!G16),(NºAsuntos!C16+NºAsuntos!E16)/NºAsuntos!G16," - ")</f>
        <v>2.0268199233716473</v>
      </c>
      <c r="G16" s="463"/>
    </row>
    <row r="17" spans="1:7" ht="13.5" thickBot="1">
      <c r="A17" s="402" t="str">
        <f>Datos!A17</f>
        <v>Jdos. Violencia contra la mujer</v>
      </c>
      <c r="B17" s="442">
        <f>IF(ISNUMBER(NºAsuntos!G17/NºAsuntos!E17),NºAsuntos!G17/NºAsuntos!E17," - ")</f>
        <v>1.2439024390243902</v>
      </c>
      <c r="C17" s="443">
        <f>IF(ISNUMBER(NºAsuntos!I17/NºAsuntos!G17),NºAsuntos!I17/NºAsuntos!G17," - ")</f>
        <v>0.66013071895424835</v>
      </c>
      <c r="D17" s="444">
        <f>IF(ISNUMBER('Resol  Asuntos'!D17/NºAsuntos!G17),'Resol  Asuntos'!D17/NºAsuntos!G17," - ")</f>
        <v>0.1437908496732026</v>
      </c>
      <c r="E17" s="445">
        <f>IF(ISNUMBER((NºAsuntos!C17+NºAsuntos!E17)/NºAsuntos!G17),(NºAsuntos!C17+NºAsuntos!E17)/NºAsuntos!G17," - ")</f>
        <v>1.6405228758169934</v>
      </c>
      <c r="G17" s="463"/>
    </row>
    <row r="18" spans="1:7" ht="14.25" thickTop="1" thickBot="1">
      <c r="A18" s="848" t="str">
        <f>Datos!A18</f>
        <v>TOTAL</v>
      </c>
      <c r="B18" s="858">
        <f>IF(ISNUMBER(NºAsuntos!G18/NºAsuntos!E18),NºAsuntos!G18/NºAsuntos!E18," - ")</f>
        <v>1.0185185185185186</v>
      </c>
      <c r="C18" s="859">
        <f>IF(ISNUMBER(NºAsuntos!I18/NºAsuntos!G18),NºAsuntos!I18/NºAsuntos!G18," - ")</f>
        <v>1.0181818181818181</v>
      </c>
      <c r="D18" s="862">
        <f>IF(ISNUMBER('Resol  Asuntos'!D18/NºAsuntos!G18),'Resol  Asuntos'!D18/NºAsuntos!G18," - ")</f>
        <v>0.11515151515151516</v>
      </c>
      <c r="E18" s="861">
        <f>IF(ISNUMBER((NºAsuntos!C18+NºAsuntos!E18)/NºAsuntos!G18),(NºAsuntos!C18+NºAsuntos!E18)/NºAsuntos!G18," - ")</f>
        <v>1.9969696969696971</v>
      </c>
      <c r="G18" s="463"/>
    </row>
    <row r="19" spans="1:7" ht="15.75" customHeight="1" thickTop="1" thickBot="1">
      <c r="A19" s="793" t="str">
        <f>Datos!A19</f>
        <v>TOTAL JURISDICCIONES</v>
      </c>
      <c r="B19" s="808">
        <f>IF(ISNUMBER(NºAsuntos!G19/NºAsuntos!E19),NºAsuntos!G19/NºAsuntos!E19," - ")</f>
        <v>1.063107894141597</v>
      </c>
      <c r="C19" s="809">
        <f>IF(ISNUMBER(NºAsuntos!I19/NºAsuntos!G19),NºAsuntos!I19/NºAsuntos!G19," - ")</f>
        <v>1.3246808510638297</v>
      </c>
      <c r="D19" s="810">
        <f>IF(ISNUMBER('Resol  Asuntos'!D19/NºAsuntos!G19),'Resol  Asuntos'!D19/NºAsuntos!G19," - ")</f>
        <v>0.24531914893617021</v>
      </c>
      <c r="E19" s="811">
        <f>IF(ISNUMBER((NºAsuntos!C19+NºAsuntos!E19)/NºAsuntos!G19),(NºAsuntos!C19+NºAsuntos!E19)/NºAsuntos!G19," - ")</f>
        <v>2.315744680851064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WmCNPdh4RZpaZJRTl+qP4MEElaamPKcYc/YBSLTOxLRwwGG6EeFMgQ9DpGPSD052jQPNTIY1H5kxAcFd0wOtQ==" saltValue="oJRNoM+TzIQX85dl7Pnz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AVILES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0</v>
      </c>
      <c r="Y10" s="334">
        <f t="shared" ref="Y10:Y12" si="0">SUM(W10:X10)</f>
        <v>13</v>
      </c>
      <c r="Z10" s="335" t="str">
        <f>IF(ISNUMBER(Datos!CC10),Datos!CC10," - ")</f>
        <v xml:space="preserve"> - </v>
      </c>
      <c r="AA10" s="332">
        <f>IF(ISNUMBER(Datos!L10),Datos!L10,"-")</f>
        <v>31</v>
      </c>
      <c r="AB10" s="334">
        <f>IF(ISNUMBER(Datos!R10),Datos!R10," - ")</f>
        <v>12</v>
      </c>
      <c r="AC10" s="334">
        <f t="shared" ref="AC10:AC12" si="1">IF(ISNUMBER(AA10+AB10),AA10+AB10," - ")</f>
        <v>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1.0833333333333333</v>
      </c>
      <c r="AM10" s="260">
        <f>IF(ISNUMBER(((NºAsuntos!I10/NºAsuntos!G10)*11)/factor_trimestre),((NºAsuntos!I10/NºAsuntos!G10)*11)/factor_trimestre," - ")</f>
        <v>7.1538461538461542</v>
      </c>
      <c r="AN10" s="244">
        <f>IF(ISNUMBER('Resol  Asuntos'!D10/NºAsuntos!G10),'Resol  Asuntos'!D10/NºAsuntos!G10," - ")</f>
        <v>0.53846153846153844</v>
      </c>
      <c r="AO10" s="245">
        <f>IF(ISNUMBER((NºAsuntos!C10+NºAsuntos!E10)/NºAsuntos!G10),(NºAsuntos!C10+NºAsuntos!E10)/NºAsuntos!G10," - ")</f>
        <v>3.3846153846153846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432</v>
      </c>
      <c r="Y12" s="334">
        <f t="shared" si="0"/>
        <v>432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918</v>
      </c>
      <c r="AJ12" s="229" t="str">
        <f>IF(ISNUMBER(Datos!BW12),Datos!BW12," - ")</f>
        <v xml:space="preserve"> - </v>
      </c>
      <c r="AK12" s="228" t="str">
        <f>IF(ISNUMBER(Datos!BX12),Datos!BX12," - ")</f>
        <v xml:space="preserve"> - </v>
      </c>
      <c r="AL12" s="243">
        <f>IF(ISNUMBER(NºAsuntos!G12/NºAsuntos!E12),NºAsuntos!G12/NºAsuntos!E12," - ")</f>
        <v>1.0981744421906694</v>
      </c>
      <c r="AM12" s="260">
        <f>IF(ISNUMBER(((NºAsuntos!I12/NºAsuntos!G12)*11)/factor_trimestre),((NºAsuntos!I12/NºAsuntos!G12)*11)/factor_trimestre," - ")</f>
        <v>4.6313261913557451</v>
      </c>
      <c r="AN12" s="244">
        <f>IF(ISNUMBER('Resol  Asuntos'!D12/NºAsuntos!G12),'Resol  Asuntos'!D12/NºAsuntos!G12," - ")</f>
        <v>0.33912079793128924</v>
      </c>
      <c r="AO12" s="245">
        <f>IF(ISNUMBER((NºAsuntos!C12+NºAsuntos!E12)/NºAsuntos!G12),(NºAsuntos!C12+NºAsuntos!E12)/NºAsuntos!G12," - ")</f>
        <v>2.5437753971185812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32</v>
      </c>
      <c r="G13" s="866">
        <f t="shared" si="3"/>
        <v>32</v>
      </c>
      <c r="H13" s="865">
        <f t="shared" si="3"/>
        <v>0</v>
      </c>
      <c r="I13" s="867">
        <f t="shared" si="3"/>
        <v>0</v>
      </c>
      <c r="J13" s="867">
        <f t="shared" si="3"/>
        <v>0</v>
      </c>
      <c r="K13" s="867">
        <f t="shared" si="3"/>
        <v>0</v>
      </c>
      <c r="L13" s="867">
        <f t="shared" si="3"/>
        <v>679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432</v>
      </c>
      <c r="Y13" s="868">
        <f t="shared" si="4"/>
        <v>445</v>
      </c>
      <c r="Z13" s="868">
        <f t="shared" si="4"/>
        <v>0</v>
      </c>
      <c r="AA13" s="868">
        <f t="shared" si="4"/>
        <v>31</v>
      </c>
      <c r="AB13" s="868">
        <f t="shared" si="4"/>
        <v>6154</v>
      </c>
      <c r="AC13" s="868">
        <f t="shared" si="4"/>
        <v>43</v>
      </c>
      <c r="AD13" s="868">
        <f t="shared" si="4"/>
        <v>0</v>
      </c>
      <c r="AE13" s="872">
        <f t="shared" si="4"/>
        <v>0</v>
      </c>
      <c r="AF13" s="865">
        <f t="shared" si="4"/>
        <v>0</v>
      </c>
      <c r="AG13" s="873">
        <f t="shared" si="4"/>
        <v>0</v>
      </c>
      <c r="AH13" s="870">
        <f t="shared" si="4"/>
        <v>0</v>
      </c>
      <c r="AI13" s="865">
        <f t="shared" si="4"/>
        <v>925</v>
      </c>
      <c r="AJ13" s="867">
        <f t="shared" si="4"/>
        <v>0</v>
      </c>
      <c r="AK13" s="870">
        <f>SUBTOTAL(9,AK9:AK12)</f>
        <v>0</v>
      </c>
      <c r="AL13" s="874">
        <f>IF(ISNUMBER(NºAsuntos!G13/NºAsuntos!E13),NºAsuntos!G13/NºAsuntos!E13," - ")</f>
        <v>1.0981025433992733</v>
      </c>
      <c r="AM13" s="874">
        <f>IF(ISNUMBER(((NºAsuntos!I13/NºAsuntos!G13)*11)/factor_trimestre),((NºAsuntos!I13/NºAsuntos!G13)*11)/factor_trimestre," - ")</f>
        <v>4.6433823529411766</v>
      </c>
      <c r="AN13" s="875">
        <f>IF(ISNUMBER('Resol  Asuntos'!D13/NºAsuntos!G13),'Resol  Asuntos'!D13/NºAsuntos!G13," - ")</f>
        <v>0.34007352941176472</v>
      </c>
      <c r="AO13" s="876">
        <f>IF(ISNUMBER((NºAsuntos!C13+NºAsuntos!E13)/NºAsuntos!G13),(NºAsuntos!C13+NºAsuntos!E13)/NºAsuntos!G13," - ")</f>
        <v>2.5477941176470589</v>
      </c>
      <c r="AP13" s="877" t="str">
        <f t="shared" si="2"/>
        <v xml:space="preserve"> - </v>
      </c>
      <c r="AQ13" s="877">
        <f>IF(ISNUMBER((H13-W13+K13)/(F13)),(H13-W13+K13)/(F13)," - ")</f>
        <v>-0.40625</v>
      </c>
      <c r="AR13" s="878">
        <f>IF(ISNUMBER((Datos!P13-Datos!Q13)/(Datos!R13-Datos!P13+Datos!Q13)),(Datos!P13-Datos!Q13)/(Datos!R13-Datos!P13+Datos!Q13)," - ")</f>
        <v>4.181479600474014E-2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1921</v>
      </c>
      <c r="G16" s="333">
        <f>IF(ISNUMBER(IF(D_I="SI",Datos!I16,Datos!I16+Datos!AC16)),IF(D_I="SI",Datos!I16,Datos!I16+Datos!AC16)," - ")</f>
        <v>1882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1827</v>
      </c>
      <c r="X16" s="226">
        <f>IF(ISNUMBER(Datos!Q16),Datos!Q16," - ")</f>
        <v>61</v>
      </c>
      <c r="Y16" s="334">
        <f t="shared" ref="Y16:Y17" si="7">SUM(W16:X16)</f>
        <v>1888</v>
      </c>
      <c r="Z16" s="335" t="str">
        <f>IF(ISNUMBER(Datos!CC16),Datos!CC16," - ")</f>
        <v xml:space="preserve"> - </v>
      </c>
      <c r="AA16" s="332">
        <f>IF(ISNUMBER(IF(D_I="SI",Datos!L16,Datos!L16+Datos!AF16)),IF(D_I="SI",Datos!L16,Datos!L16+Datos!AF16)," - ")</f>
        <v>1915</v>
      </c>
      <c r="AB16" s="334">
        <f>IF(ISNUMBER(Datos!R16),Datos!R16," - ")</f>
        <v>348</v>
      </c>
      <c r="AC16" s="334">
        <f t="shared" si="6"/>
        <v>2263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206</v>
      </c>
      <c r="AJ16" s="231" t="str">
        <f>IF(ISNUMBER(Datos!BW16),Datos!BW16," - ")</f>
        <v xml:space="preserve"> - </v>
      </c>
      <c r="AK16" s="232" t="str">
        <f>IF(ISNUMBER(Datos!BX16),Datos!BX16," - ")</f>
        <v xml:space="preserve"> - </v>
      </c>
      <c r="AL16" s="243">
        <f>IF(ISNUMBER(NºAsuntos!G16/NºAsuntos!E16),NºAsuntos!G16/NºAsuntos!E16," - ")</f>
        <v>1.0032948929159802</v>
      </c>
      <c r="AM16" s="260">
        <f>IF(ISNUMBER(((NºAsuntos!I16/NºAsuntos!G16)*11)/factor_trimestre),((NºAsuntos!I16/NºAsuntos!G16)*11)/factor_trimestre," - ")</f>
        <v>3.1444991789819383</v>
      </c>
      <c r="AN16" s="244">
        <f>IF(ISNUMBER('Resol  Asuntos'!D16/NºAsuntos!G16),'Resol  Asuntos'!D16/NºAsuntos!G16," - ")</f>
        <v>0.11275314723590586</v>
      </c>
      <c r="AO16" s="245">
        <f>IF(ISNUMBER((NºAsuntos!C16+NºAsuntos!E16)/NºAsuntos!G16),(NºAsuntos!C16+NºAsuntos!E16)/NºAsuntos!G16," - ")</f>
        <v>2.0268199233716473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153</v>
      </c>
      <c r="X17" s="226">
        <f>IF(ISNUMBER(Datos!Q17),Datos!Q17," - ")</f>
        <v>5</v>
      </c>
      <c r="Y17" s="334">
        <f t="shared" si="7"/>
        <v>158</v>
      </c>
      <c r="Z17" s="335" t="str">
        <f>IF(ISNUMBER(Datos!CC17),Datos!CC17," - ")</f>
        <v xml:space="preserve"> - </v>
      </c>
      <c r="AA17" s="332">
        <f>IF(ISNUMBER(Datos!L17),Datos!L17,"-")</f>
        <v>101</v>
      </c>
      <c r="AB17" s="334">
        <f>IF(ISNUMBER(Datos!R17),Datos!R17," - ")</f>
        <v>12</v>
      </c>
      <c r="AC17" s="334">
        <f t="shared" si="6"/>
        <v>113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1.2439024390243902</v>
      </c>
      <c r="AM17" s="260">
        <f>IF(ISNUMBER(((NºAsuntos!I17/NºAsuntos!G17)*11)/factor_trimestre),((NºAsuntos!I17/NºAsuntos!G17)*11)/factor_trimestre," - ")</f>
        <v>1.9803921568627452</v>
      </c>
      <c r="AN17" s="244">
        <f>IF(ISNUMBER('Resol  Asuntos'!D17/NºAsuntos!G17),'Resol  Asuntos'!D17/NºAsuntos!G17," - ")</f>
        <v>0.1437908496732026</v>
      </c>
      <c r="AO17" s="245">
        <f>IF(ISNUMBER((NºAsuntos!C17+NºAsuntos!E17)/NºAsuntos!G17),(NºAsuntos!C17+NºAsuntos!E17)/NºAsuntos!G17," - ")</f>
        <v>1.6405228758169934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1921</v>
      </c>
      <c r="G18" s="866">
        <f>SUBTOTAL(9,G15:G17)</f>
        <v>2010</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1980</v>
      </c>
      <c r="X18" s="867">
        <f t="shared" si="11"/>
        <v>66</v>
      </c>
      <c r="Y18" s="868">
        <f t="shared" si="11"/>
        <v>2046</v>
      </c>
      <c r="Z18" s="868">
        <f t="shared" si="11"/>
        <v>0</v>
      </c>
      <c r="AA18" s="868">
        <f t="shared" si="11"/>
        <v>2016</v>
      </c>
      <c r="AB18" s="868">
        <f t="shared" si="11"/>
        <v>360</v>
      </c>
      <c r="AC18" s="868">
        <f t="shared" si="11"/>
        <v>2376</v>
      </c>
      <c r="AD18" s="868">
        <f t="shared" si="11"/>
        <v>0</v>
      </c>
      <c r="AE18" s="872">
        <f t="shared" si="11"/>
        <v>0</v>
      </c>
      <c r="AF18" s="865">
        <f t="shared" si="11"/>
        <v>0</v>
      </c>
      <c r="AG18" s="873">
        <f t="shared" si="11"/>
        <v>0</v>
      </c>
      <c r="AH18" s="870">
        <f t="shared" si="11"/>
        <v>0</v>
      </c>
      <c r="AI18" s="865">
        <f t="shared" si="11"/>
        <v>228</v>
      </c>
      <c r="AJ18" s="867">
        <f t="shared" si="11"/>
        <v>0</v>
      </c>
      <c r="AK18" s="870">
        <f t="shared" si="11"/>
        <v>0</v>
      </c>
      <c r="AL18" s="874">
        <f>IF(ISNUMBER(NºAsuntos!G18/NºAsuntos!E18),NºAsuntos!G18/NºAsuntos!E18," - ")</f>
        <v>1.0185185185185186</v>
      </c>
      <c r="AM18" s="874">
        <f>IF(ISNUMBER(((NºAsuntos!I18/NºAsuntos!G18)*11)/factor_trimestre),((NºAsuntos!I18/NºAsuntos!G18)*11)/factor_trimestre," - ")</f>
        <v>3.0545454545454547</v>
      </c>
      <c r="AN18" s="875">
        <f>IF(ISNUMBER('Resol  Asuntos'!D18/NºAsuntos!G18),'Resol  Asuntos'!D18/NºAsuntos!G18," - ")</f>
        <v>0.11515151515151516</v>
      </c>
      <c r="AO18" s="876">
        <f>IF(ISNUMBER((NºAsuntos!C18+NºAsuntos!E18)/NºAsuntos!G18),(NºAsuntos!C18+NºAsuntos!E18)/NºAsuntos!G18," - ")</f>
        <v>1.9969696969696971</v>
      </c>
      <c r="AP18" s="877" t="str">
        <f t="shared" si="2"/>
        <v xml:space="preserve"> - </v>
      </c>
      <c r="AQ18" s="877">
        <f>IF(ISNUMBER((H18-W18+K18)/(F18)),(H18-W18+K18)/(F18)," - ")</f>
        <v>-1.0307131702238417</v>
      </c>
      <c r="AR18" s="878">
        <f>IF(ISNUMBER((Datos!P18-Datos!Q18)/(Datos!R18-Datos!P18+Datos!Q18)),(Datos!P18-Datos!Q18)/(Datos!R18-Datos!P18+Datos!Q18)," - ")</f>
        <v>1.1235955056179775E-2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1953</v>
      </c>
      <c r="G19" s="821">
        <f t="shared" si="13"/>
        <v>2042</v>
      </c>
      <c r="H19" s="820">
        <f t="shared" si="13"/>
        <v>0</v>
      </c>
      <c r="I19" s="822">
        <f t="shared" si="13"/>
        <v>0</v>
      </c>
      <c r="J19" s="822">
        <f t="shared" si="13"/>
        <v>0</v>
      </c>
      <c r="K19" s="881">
        <f t="shared" si="13"/>
        <v>0</v>
      </c>
      <c r="L19" s="822">
        <f t="shared" si="13"/>
        <v>749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1993</v>
      </c>
      <c r="X19" s="821">
        <f t="shared" si="14"/>
        <v>498</v>
      </c>
      <c r="Y19" s="828">
        <f t="shared" si="14"/>
        <v>2491</v>
      </c>
      <c r="Z19" s="828">
        <f t="shared" si="14"/>
        <v>0</v>
      </c>
      <c r="AA19" s="828">
        <f t="shared" si="14"/>
        <v>2047</v>
      </c>
      <c r="AB19" s="828">
        <f t="shared" si="14"/>
        <v>6514</v>
      </c>
      <c r="AC19" s="828">
        <f t="shared" si="14"/>
        <v>2419</v>
      </c>
      <c r="AD19" s="828">
        <f t="shared" si="14"/>
        <v>0</v>
      </c>
      <c r="AE19" s="830">
        <f t="shared" si="14"/>
        <v>0</v>
      </c>
      <c r="AF19" s="831">
        <f t="shared" si="14"/>
        <v>0</v>
      </c>
      <c r="AG19" s="832">
        <f t="shared" si="14"/>
        <v>0</v>
      </c>
      <c r="AH19" s="830">
        <f t="shared" si="14"/>
        <v>0</v>
      </c>
      <c r="AI19" s="820">
        <f t="shared" si="14"/>
        <v>1153</v>
      </c>
      <c r="AJ19" s="820">
        <f t="shared" si="14"/>
        <v>0</v>
      </c>
      <c r="AK19" s="830">
        <f t="shared" si="14"/>
        <v>0</v>
      </c>
      <c r="AL19" s="884">
        <f>IF(ISNUMBER(NºAsuntos!G19/NºAsuntos!E19),NºAsuntos!G19/NºAsuntos!E19," - ")</f>
        <v>1.063107894141597</v>
      </c>
      <c r="AM19" s="885">
        <f>IF(ISNUMBER(((NºAsuntos!I19/NºAsuntos!G19)*11)/factor_trimestre),((NºAsuntos!I19/NºAsuntos!G19)*11)/factor_trimestre," - ")</f>
        <v>3.9740425531914894</v>
      </c>
      <c r="AN19" s="885">
        <f>IF(ISNUMBER('Resol  Asuntos'!D19/NºAsuntos!G19),'Resol  Asuntos'!D19/NºAsuntos!G19," - ")</f>
        <v>0.24531914893617021</v>
      </c>
      <c r="AO19" s="886">
        <f>IF(ISNUMBER((NºAsuntos!C19+NºAsuntos!E19)/NºAsuntos!G19),(NºAsuntos!C19+NºAsuntos!E19)/NºAsuntos!G19," - ")</f>
        <v>2.315744680851064</v>
      </c>
      <c r="AP19" s="887" t="str">
        <f t="shared" si="2"/>
        <v xml:space="preserve"> - </v>
      </c>
      <c r="AQ19" s="888">
        <f>IF(OR(ISNUMBER(FIND("01",Criterios!A8,1)),ISNUMBER(FIND("02",Criterios!A8,1)),ISNUMBER(FIND("03",Criterios!A8,1)),ISNUMBER(FIND("04",Criterios!A8,1))),(I19-W19+K19)/(F19-K19),(H19-W19+K19)/(F19-K19))</f>
        <v>-1.0204813108038915</v>
      </c>
      <c r="AR19" s="889">
        <f>IF(ISNUMBER((Datos!P19-Datos!Q19)/(Datos!R19-Datos!P19+Datos!Q19)),(Datos!P19-Datos!Q19)/(Datos!R19-Datos!P19+Datos!Q19)," - ")</f>
        <v>4.0076640587577837E-2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1090.614658499203</v>
      </c>
      <c r="G21" s="253">
        <f>IF(ISNUMBER(STDEV(G8:G18)),STDEV(G8:G18),"-")</f>
        <v>1032.5508219937651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1012.9704832817193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425.91767592654179</v>
      </c>
      <c r="AJ21" s="252">
        <f t="shared" si="18"/>
        <v>0</v>
      </c>
      <c r="AK21" s="254">
        <f t="shared" si="18"/>
        <v>0</v>
      </c>
      <c r="AL21" s="249">
        <f t="shared" si="18"/>
        <v>8.5423097195809705E-2</v>
      </c>
      <c r="AM21" s="250">
        <f t="shared" si="18"/>
        <v>1.8112002663844025</v>
      </c>
      <c r="AN21" s="250">
        <f t="shared" si="18"/>
        <v>0.17101836223898215</v>
      </c>
      <c r="AO21" s="251">
        <f t="shared" si="18"/>
        <v>0.61306779694783076</v>
      </c>
      <c r="AP21" s="291" t="str">
        <f t="shared" si="18"/>
        <v>-</v>
      </c>
      <c r="AQ21" s="292">
        <f t="shared" si="18"/>
        <v>0.44156214226652774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VM/IUcUoMcxjWTg2xvdFodYSo5/qjIx61Gc0MO7kGaJRz1nLM4WAuyg0YE1lMjTXF2y6qo/yjrqqG4+l9lOmg==" saltValue="CaDONOOY/Z7ilpKiwU4W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AVILES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0.45454545454545453</v>
      </c>
      <c r="E10" s="348">
        <f>IF(ISNUMBER((Datos!J10-Datos!T10)/Datos!T10),(Datos!J10-Datos!T10)/Datos!T10," - ")</f>
        <v>-0.58620689655172409</v>
      </c>
      <c r="F10" s="348">
        <f>IF(ISNUMBER((Datos!K10-Datos!U10)/Datos!U10),(Datos!K10-Datos!U10)/Datos!U10," - ")</f>
        <v>-0.13333333333333333</v>
      </c>
      <c r="G10" s="349">
        <f>IF(ISNUMBER((Datos!L10-Datos!V10)/Datos!V10),(Datos!L10-Datos!V10)/Datos!V10," - ")</f>
        <v>0</v>
      </c>
      <c r="H10" s="230">
        <f>IF(ISNUMBER((Datos!M10-Datos!W10)/Datos!W10),(Datos!M10-Datos!W10)/Datos!W10," - ")</f>
        <v>0.4</v>
      </c>
      <c r="I10" s="350">
        <f>IF(ISNUMBER((Tasas!C10-Datos!BE10)/Datos!BE10),(Tasas!C10-Datos!BE10)/Datos!BE10," - ")</f>
        <v>0.15384615384615372</v>
      </c>
      <c r="J10" s="349">
        <f>IF(ISNUMBER((Tasas!D10-Datos!BF10)/Datos!BF10),(Tasas!D10-Datos!BF10)/Datos!BF10," - ")</f>
        <v>0.61538461538461542</v>
      </c>
      <c r="K10" s="351">
        <f>IF(ISNUMBER((Tasas!E10-Datos!BG10)/Datos!BG10),(Tasas!E10-Datos!BG10)/Datos!BG10," - ")</f>
        <v>-4.5248868778280382E-3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0.21912350597609562</v>
      </c>
      <c r="I12" s="350">
        <f>IF(ISNUMBER((Tasas!C12-Datos!BE12)/Datos!BE12),(Tasas!C12-Datos!BE12)/Datos!BE12," - ")</f>
        <v>-0.10072437077739835</v>
      </c>
      <c r="J12" s="349">
        <f>IF(ISNUMBER((Tasas!D12-Datos!BF12)/Datos!BF12),(Tasas!D12-Datos!BF12)/Datos!BF12," - ")</f>
        <v>-3.0326468415219823E-2</v>
      </c>
      <c r="K12" s="351">
        <f>IF(ISNUMBER((Tasas!E12-Datos!BG12)/Datos!BG12),(Tasas!E12-Datos!BG12)/Datos!BG12," - ")</f>
        <v>-5.8256820767957476E-2</v>
      </c>
      <c r="M12" t="e">
        <f>IF(Monitorios="SI",Datos!CE12,0)</f>
        <v>#REF!</v>
      </c>
      <c r="N12" t="e">
        <f>IF(Monitorios="SI",Datos!CF12,0)</f>
        <v>#REF!</v>
      </c>
      <c r="O12" t="e">
        <f>IF(Monitorios="SI",Datos!CG12,0)</f>
        <v>#REF!</v>
      </c>
      <c r="P12" t="e">
        <f>IF(Monitorios="SI",Datos!CH12,0)</f>
        <v>#REF!</v>
      </c>
      <c r="Q12">
        <f>IF(J_V="SI",0,Datos!AG12)</f>
        <v>167</v>
      </c>
      <c r="R12">
        <f>IF(J_V="SI",0,Datos!AH12)</f>
        <v>196</v>
      </c>
      <c r="S12">
        <f>IF(J_V="SI",0,Datos!AI12)</f>
        <v>167</v>
      </c>
      <c r="T12">
        <f>IF(J_V="SI",0,Datos!AJ12)</f>
        <v>196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0.22031662269129287</v>
      </c>
      <c r="I13" s="357">
        <f>IF(ISNUMBER((Tasas!C13-Datos!BE13)/Datos!BE13),(Tasas!C13-Datos!BE13)/Datos!BE13," - ")</f>
        <v>-9.9533628761346596E-2</v>
      </c>
      <c r="J13" s="355">
        <f>IF(ISNUMBER((Tasas!D13-Datos!BF13)/Datos!BF13),(Tasas!D13-Datos!BF13)/Datos!BF13," - ")</f>
        <v>-2.7316571790006312E-2</v>
      </c>
      <c r="K13" s="358">
        <f>IF(ISNUMBER((Tasas!E13-Datos!BG13)/Datos!BG13),(Tasas!E13-Datos!BG13)/Datos!BG13," - ")</f>
        <v>-5.8295643407895753E-2</v>
      </c>
      <c r="M13" t="e">
        <f>IF(Monitorios="SI",Datos!CE13,0)</f>
        <v>#REF!</v>
      </c>
      <c r="N13" t="e">
        <f>IF(Monitorios="SI",Datos!CF13,0)</f>
        <v>#REF!</v>
      </c>
      <c r="O13" t="e">
        <f>IF(Monitorios="SI",Datos!CG13,0)</f>
        <v>#REF!</v>
      </c>
      <c r="P13" t="e">
        <f>IF(Monitorios="SI",Datos!CH13,0)</f>
        <v>#REF!</v>
      </c>
      <c r="Q13">
        <f>IF(J_V="SI",0,Datos!AG13)</f>
        <v>167</v>
      </c>
      <c r="R13">
        <f>IF(J_V="SI",0,Datos!AH13)</f>
        <v>196</v>
      </c>
      <c r="S13">
        <f>IF(J_V="SI",0,Datos!AI13)</f>
        <v>167</v>
      </c>
      <c r="T13">
        <f>IF(J_V="SI",0,Datos!AJ13)</f>
        <v>196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7.6659038901601834E-2</v>
      </c>
      <c r="E16" s="348">
        <f>IF(ISNUMBER(
   IF(D_I="SI",(Datos!J16-Datos!T16)/Datos!T16,(Datos!J16+Datos!AD16-(Datos!T16+Datos!AL16))/(Datos!T16+Datos!AL16))
     ),IF(D_I="SI",(Datos!J16-Datos!T16)/Datos!T16,(Datos!J16+Datos!AD16-(Datos!T16+Datos!AL16))/(Datos!T16+Datos!AL16))," - ")</f>
        <v>6.9917743830787304E-2</v>
      </c>
      <c r="F16" s="348">
        <f>IF(ISNUMBER(
   IF(D_I="SI",(Datos!K16-Datos!U16)/Datos!U16,(Datos!K16+Datos!AE16-(Datos!U16+Datos!AM16))/(Datos!U16+Datos!AM16))
     ),IF(D_I="SI",(Datos!K16-Datos!U16)/Datos!U16,(Datos!K16+Datos!AE16-(Datos!U16+Datos!AM16))/(Datos!U16+Datos!AM16))," - ")</f>
        <v>2.1812080536912751E-2</v>
      </c>
      <c r="G16" s="349">
        <f>IF(ISNUMBER(
   IF(D_I="SI",(Datos!L16-Datos!V16)/Datos!V16,(Datos!L16+Datos!AF16-(Datos!V16+Datos!AN16))/(Datos!V16+Datos!AN16))
     ),IF(D_I="SI",(Datos!L16-Datos!V16)/Datos!V16,(Datos!L16+Datos!AF16-(Datos!V16+Datos!AN16))/(Datos!V16+Datos!AN16))," - ")</f>
        <v>0.10247553252734599</v>
      </c>
      <c r="H16" s="230">
        <f>IF(ISNUMBER((Datos!M16-Datos!W16)/Datos!W16),(Datos!M16-Datos!W16)/Datos!W16," - ")</f>
        <v>-0.16599190283400811</v>
      </c>
      <c r="I16" s="350">
        <f>IF(ISNUMBER((Tasas!C16-Datos!BE16)/Datos!BE16),(Tasas!C16-Datos!BE16)/Datos!BE16," - ")</f>
        <v>7.8941572062887128E-2</v>
      </c>
      <c r="J16" s="349">
        <f>IF(ISNUMBER((Tasas!D16-Datos!BF16)/Datos!BF16),(Tasas!D16-Datos!BF16)/Datos!BF16," - ")</f>
        <v>-0.18379503134494057</v>
      </c>
      <c r="K16" s="351">
        <f>IF(ISNUMBER((Tasas!E16-Datos!BG16)/Datos!BG16),(Tasas!E16-Datos!BG16)/Datos!BG16," - ")</f>
        <v>5.0421455938697179E-2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0.42222222222222222</v>
      </c>
      <c r="E17" s="348">
        <f>IF(ISNUMBER(
   IF(D_I="SI",(Datos!J17-Datos!T17)/Datos!T17,(Datos!J17+Datos!AD17-(Datos!T17+Datos!AL17))/(Datos!T17+Datos!AL17))
     ),IF(D_I="SI",(Datos!J17-Datos!T17)/Datos!T17,(Datos!J17+Datos!AD17-(Datos!T17+Datos!AL17))/(Datos!T17+Datos!AL17))," - ")</f>
        <v>-6.1068702290076333E-2</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-0.25735294117647056</v>
      </c>
      <c r="H17" s="230">
        <f>IF(ISNUMBER((Datos!M17-Datos!W17)/Datos!W17),(Datos!M17-Datos!W17)/Datos!W17," - ")</f>
        <v>0</v>
      </c>
      <c r="I17" s="350">
        <f>IF(ISNUMBER((Tasas!C17-Datos!BE17)/Datos!BE17),(Tasas!C17-Datos!BE17)/Datos!BE17," - ")</f>
        <v>-0.25735294117647056</v>
      </c>
      <c r="J17" s="349">
        <f>IF(ISNUMBER((Tasas!D17-Datos!BF17)/Datos!BF17),(Tasas!D17-Datos!BF17)/Datos!BF17," - ")</f>
        <v>0</v>
      </c>
      <c r="K17" s="351">
        <f>IF(ISNUMBER((Tasas!E17-Datos!BG17)/Datos!BG17),(Tasas!E17-Datos!BG17)/Datos!BG17," - ")</f>
        <v>0.13574660633484162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9.3579978237214367E-2</v>
      </c>
      <c r="E18" s="354">
        <f>IF(ISNUMBER(
   IF(D_I="SI",(Datos!J18-Datos!T18)/Datos!T18,(Datos!J18+Datos!AD18-(Datos!T18+Datos!AL18))/(Datos!T18+Datos!AL18))
     ),IF(D_I="SI",(Datos!J18-Datos!T18)/Datos!T18,(Datos!J18+Datos!AD18-(Datos!T18+Datos!AL18))/(Datos!T18+Datos!AL18))," - ")</f>
        <v>6.0556464811783964E-2</v>
      </c>
      <c r="F18" s="354">
        <f>IF(ISNUMBER(
   IF(D_I="SI",(Datos!K18-Datos!U18)/Datos!U18,(Datos!K18+Datos!AE18-(Datos!U18+Datos!AM18))/(Datos!U18+Datos!AM18))
     ),IF(D_I="SI",(Datos!K18-Datos!U18)/Datos!U18,(Datos!K18+Datos!AE18-(Datos!U18+Datos!AM18))/(Datos!U18+Datos!AM18))," - ")</f>
        <v>2.009273570324575E-2</v>
      </c>
      <c r="G18" s="355">
        <f>IF(ISNUMBER(
   IF(D_I="SI",(Datos!L18-Datos!V18)/Datos!V18,(Datos!L18+Datos!AF18-(Datos!V18+Datos!AN18))/(Datos!V18+Datos!AN18))
     ),IF(D_I="SI",(Datos!L18-Datos!V18)/Datos!V18,(Datos!L18+Datos!AF18-(Datos!V18+Datos!AN18))/(Datos!V18+Datos!AN18))," - ")</f>
        <v>7.6348104644954617E-2</v>
      </c>
      <c r="H18" s="356">
        <f>IF(ISNUMBER((Datos!M18-Datos!W18)/Datos!W18),(Datos!M18-Datos!W18)/Datos!W18," - ")</f>
        <v>-0.15241635687732341</v>
      </c>
      <c r="I18" s="357">
        <f>IF(ISNUMBER((Tasas!C18-Datos!BE18)/Datos!BE18),(Tasas!C18-Datos!BE18)/Datos!BE18," - ")</f>
        <v>5.514730864437211E-2</v>
      </c>
      <c r="J18" s="355">
        <f>IF(ISNUMBER((Tasas!D18-Datos!BF18)/Datos!BF18),(Tasas!D18-Datos!BF18)/Datos!BF18," - ")</f>
        <v>-0.16911118621155793</v>
      </c>
      <c r="K18" s="358">
        <f>IF(ISNUMBER((Tasas!E18-Datos!BG18)/Datos!BG18),(Tasas!E18-Datos!BG18)/Datos!BG18," - ")</f>
        <v>5.5875287882915292E-2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8.6949209552640433E-2</v>
      </c>
      <c r="E19" s="363">
        <f>IF(ISNUMBER(
   IF(J_V="SI",(Datos!J19-Datos!T19)/Datos!T19,(Datos!J19+Datos!Z19-(Datos!T19+Datos!AH19))/(Datos!T19+Datos!AH19))
     ),IF(J_V="SI",(Datos!J19-Datos!T19)/Datos!T19,(Datos!J19+Datos!Z19-(Datos!T19+Datos!AH19))/(Datos!T19+Datos!AH19))," - ")</f>
        <v>5.2118039029033794E-2</v>
      </c>
      <c r="F19" s="363">
        <f>IF(ISNUMBER(
   IF(J_V="SI",(Datos!K19-Datos!U19)/Datos!U19,(Datos!K19+Datos!AA19-(Datos!U19+Datos!AI19))/(Datos!U19+Datos!AI19))
     ),IF(J_V="SI",(Datos!K19-Datos!U19)/Datos!U19,(Datos!K19+Datos!AA19-(Datos!U19+Datos!AI19))/(Datos!U19+Datos!AI19))," - ")</f>
        <v>8.4198385236447515E-2</v>
      </c>
      <c r="G19" s="364">
        <f>IF(ISNUMBER(
   IF(J_V="SI",(Datos!L19-Datos!V19)/Datos!V19,(Datos!L19+Datos!AB19-(Datos!V19+Datos!AJ19))/(Datos!V19+Datos!AJ19))
     ),IF(J_V="SI",(Datos!L19-Datos!V19)/Datos!V19,(Datos!L19+Datos!AB19-(Datos!V19+Datos!AJ19))/(Datos!V19+Datos!AJ19))," - ")</f>
        <v>3.9746158984635939E-2</v>
      </c>
      <c r="H19" s="365">
        <f>IF(ISNUMBER((Datos!M19-Datos!W19)/Datos!W19),(Datos!M19-Datos!W19)/Datos!W19," - ")</f>
        <v>0.12268743914313535</v>
      </c>
      <c r="I19" s="362">
        <f>IF(ISNUMBER((Tasas!C19-Datos!BE19)/Datos!BE19),(Tasas!C19-Datos!BE19)/Datos!BE19," - ")</f>
        <v>-4.1000085276936958E-2</v>
      </c>
      <c r="J19" s="363">
        <f>IF(ISNUMBER((Tasas!D19-Datos!BF19)/Datos!BF19),(Tasas!D19-Datos!BF19)/Datos!BF19," - ")</f>
        <v>-3.8464276095571563E-2</v>
      </c>
      <c r="K19" s="364">
        <f>IF(ISNUMBER((Tasas!E19-Datos!BG19)/Datos!BG19),(Tasas!E19-Datos!BG19)/Datos!BG19," - ")</f>
        <v>-1.0765353617524414E-2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0.20450040055963142</v>
      </c>
      <c r="E21" s="278">
        <f t="shared" si="1"/>
        <v>0.31045803209082445</v>
      </c>
      <c r="F21" s="278">
        <f t="shared" si="1"/>
        <v>7.4313456001594558E-2</v>
      </c>
      <c r="G21" s="279">
        <f t="shared" si="1"/>
        <v>0.16433613042072759</v>
      </c>
      <c r="H21" s="285">
        <f t="shared" si="1"/>
        <v>0.22895103465337605</v>
      </c>
      <c r="I21" s="277">
        <f t="shared" si="1"/>
        <v>0.15127868065494987</v>
      </c>
      <c r="J21" s="278">
        <f t="shared" si="1"/>
        <v>0.29521192416969</v>
      </c>
      <c r="K21" s="279">
        <f t="shared" si="1"/>
        <v>7.5452541990536942E-2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XNqnLJrDURSbKtqvdd64yZ05CEaQZSuaWzSRg8tlUeNWBBGgxO0xvoIeYjDdDUwLTRVkipp78moWby/Pau5gw==" saltValue="MQJWg0Bu+lZODSicyL22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